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2.AzureAD\Downloads\"/>
    </mc:Choice>
  </mc:AlternateContent>
  <xr:revisionPtr revIDLastSave="0" documentId="8_{D09F8509-43F1-41CF-A665-E0CC1335C177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Income - Adjusted" sheetId="2" r:id="rId1"/>
    <sheet name="Bal Sheet - Standardized" sheetId="3" r:id="rId2"/>
    <sheet name="Cash Flow - Standardize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4" l="1"/>
  <c r="F27" i="4"/>
  <c r="F37" i="4"/>
  <c r="F17" i="4"/>
  <c r="F25" i="4"/>
  <c r="F9" i="4"/>
  <c r="F13" i="4"/>
  <c r="F47" i="4"/>
  <c r="F49" i="4"/>
  <c r="F29" i="4"/>
  <c r="F23" i="4"/>
  <c r="F60" i="4"/>
  <c r="F35" i="4"/>
  <c r="F11" i="4"/>
  <c r="F61" i="4"/>
  <c r="F21" i="4"/>
  <c r="F45" i="4"/>
  <c r="F33" i="4"/>
  <c r="F43" i="4"/>
  <c r="F41" i="4"/>
  <c r="F31" i="4"/>
  <c r="F15" i="4"/>
  <c r="J17" i="3"/>
  <c r="J28" i="2"/>
  <c r="J36" i="2"/>
  <c r="J13" i="3"/>
  <c r="J25" i="2"/>
  <c r="X26" i="3"/>
  <c r="V23" i="2"/>
  <c r="V63" i="2"/>
  <c r="V13" i="2"/>
  <c r="V24" i="2"/>
  <c r="V19" i="2"/>
  <c r="V15" i="2"/>
  <c r="V45" i="2"/>
  <c r="V9" i="2"/>
  <c r="V64" i="2"/>
  <c r="V21" i="2"/>
  <c r="V61" i="2"/>
  <c r="V17" i="2"/>
  <c r="V6" i="2"/>
  <c r="V20" i="2"/>
  <c r="V10" i="2"/>
  <c r="V7" i="2"/>
  <c r="V22" i="2"/>
  <c r="V12" i="2"/>
  <c r="V11" i="2"/>
  <c r="V14" i="2"/>
  <c r="V18" i="2"/>
  <c r="V8" i="2"/>
  <c r="U37" i="2"/>
  <c r="E26" i="2"/>
  <c r="E31" i="2"/>
  <c r="E36" i="2"/>
  <c r="E37" i="2"/>
  <c r="E29" i="2"/>
  <c r="W31" i="2"/>
  <c r="R46" i="2"/>
  <c r="Y28" i="2"/>
  <c r="V34" i="2"/>
  <c r="Q41" i="2"/>
  <c r="T34" i="2"/>
  <c r="I30" i="2"/>
  <c r="I13" i="3"/>
  <c r="I30" i="3"/>
  <c r="I42" i="2"/>
  <c r="I10" i="3"/>
  <c r="P15" i="3"/>
  <c r="P46" i="2"/>
  <c r="P29" i="2"/>
  <c r="P16" i="2"/>
  <c r="P41" i="2"/>
  <c r="S29" i="2"/>
  <c r="F31" i="2"/>
  <c r="F10" i="3"/>
  <c r="F22" i="3"/>
  <c r="F26" i="2"/>
  <c r="F28" i="2"/>
  <c r="Z28" i="2"/>
  <c r="L65" i="2"/>
  <c r="L62" i="2"/>
  <c r="L67" i="2"/>
  <c r="L68" i="2"/>
  <c r="L66" i="2"/>
  <c r="C16" i="2"/>
  <c r="C29" i="2"/>
  <c r="C24" i="3"/>
  <c r="C26" i="2"/>
  <c r="C34" i="2"/>
  <c r="L17" i="3"/>
  <c r="L25" i="2"/>
  <c r="L24" i="3"/>
  <c r="L7" i="3"/>
  <c r="L13" i="3"/>
  <c r="O42" i="2"/>
  <c r="O7" i="3"/>
  <c r="O27" i="2"/>
  <c r="O25" i="2"/>
  <c r="O30" i="2"/>
  <c r="N35" i="3"/>
  <c r="N41" i="2"/>
  <c r="N46" i="2"/>
  <c r="N16" i="2"/>
  <c r="N42" i="2"/>
  <c r="H31" i="2"/>
  <c r="H28" i="2"/>
  <c r="H26" i="2"/>
  <c r="H36" i="2"/>
  <c r="H10" i="3"/>
  <c r="M27" i="2"/>
  <c r="M28" i="2"/>
  <c r="M50" i="3"/>
  <c r="M30" i="2"/>
  <c r="M25" i="2"/>
  <c r="P30" i="3"/>
  <c r="P27" i="2"/>
  <c r="P39" i="3"/>
  <c r="P7" i="3"/>
  <c r="P50" i="3"/>
  <c r="P44" i="3"/>
  <c r="P52" i="3"/>
  <c r="P36" i="2"/>
  <c r="P31" i="2"/>
  <c r="P25" i="2"/>
  <c r="P42" i="2"/>
  <c r="P71" i="2"/>
  <c r="P28" i="2"/>
  <c r="P34" i="2"/>
  <c r="P26" i="2"/>
  <c r="P16" i="3"/>
  <c r="P12" i="3"/>
  <c r="P9" i="3"/>
  <c r="P69" i="3"/>
  <c r="P46" i="3"/>
  <c r="P30" i="2"/>
  <c r="P20" i="3"/>
  <c r="N15" i="2"/>
  <c r="N12" i="2"/>
  <c r="N20" i="2"/>
  <c r="N21" i="2"/>
  <c r="N63" i="2"/>
  <c r="N6" i="2"/>
  <c r="N9" i="2"/>
  <c r="N24" i="2"/>
  <c r="N22" i="2"/>
  <c r="N17" i="2"/>
  <c r="N14" i="2"/>
  <c r="N18" i="2"/>
  <c r="N64" i="2"/>
  <c r="N13" i="2"/>
  <c r="N7" i="2"/>
  <c r="N23" i="2"/>
  <c r="N8" i="2"/>
  <c r="N45" i="2"/>
  <c r="N61" i="2"/>
  <c r="N10" i="2"/>
  <c r="N11" i="2"/>
  <c r="N19" i="2"/>
  <c r="D16" i="2"/>
  <c r="D27" i="3"/>
  <c r="D72" i="2"/>
  <c r="D34" i="2"/>
  <c r="D35" i="3"/>
  <c r="N25" i="2"/>
  <c r="N15" i="3"/>
  <c r="N22" i="3"/>
  <c r="N38" i="3"/>
  <c r="N7" i="3"/>
  <c r="N29" i="2"/>
  <c r="N42" i="3"/>
  <c r="N28" i="2"/>
  <c r="N37" i="2"/>
  <c r="N47" i="2"/>
  <c r="N35" i="2"/>
  <c r="N30" i="2"/>
  <c r="N20" i="3"/>
  <c r="N34" i="2"/>
  <c r="N32" i="3"/>
  <c r="N72" i="2"/>
  <c r="N36" i="2"/>
  <c r="N12" i="3"/>
  <c r="N26" i="2"/>
  <c r="N31" i="2"/>
  <c r="N23" i="3"/>
  <c r="N40" i="3"/>
  <c r="N71" i="2"/>
  <c r="G31" i="2"/>
  <c r="G22" i="3"/>
  <c r="G72" i="2"/>
  <c r="G36" i="2"/>
  <c r="G26" i="2"/>
  <c r="H72" i="2"/>
  <c r="H18" i="3"/>
  <c r="H29" i="2"/>
  <c r="H43" i="3"/>
  <c r="H34" i="2"/>
  <c r="H32" i="3"/>
  <c r="H30" i="2"/>
  <c r="H45" i="3"/>
  <c r="H47" i="2"/>
  <c r="H35" i="2"/>
  <c r="H12" i="3"/>
  <c r="H49" i="3"/>
  <c r="H16" i="2"/>
  <c r="H70" i="2"/>
  <c r="H27" i="2"/>
  <c r="H8" i="3"/>
  <c r="H41" i="2"/>
  <c r="H22" i="3"/>
  <c r="H37" i="2"/>
  <c r="H55" i="3"/>
  <c r="H24" i="3"/>
  <c r="H51" i="3"/>
  <c r="H25" i="2"/>
  <c r="K28" i="2"/>
  <c r="K30" i="2"/>
  <c r="K42" i="2"/>
  <c r="K26" i="2"/>
  <c r="K36" i="2"/>
  <c r="N65" i="2"/>
  <c r="N68" i="2"/>
  <c r="N62" i="2"/>
  <c r="N66" i="2"/>
  <c r="N67" i="2"/>
  <c r="W62" i="2"/>
  <c r="W67" i="2"/>
  <c r="W66" i="2"/>
  <c r="W68" i="2"/>
  <c r="W65" i="2"/>
  <c r="F63" i="2"/>
  <c r="F22" i="2"/>
  <c r="F6" i="2"/>
  <c r="F14" i="2"/>
  <c r="F20" i="2"/>
  <c r="F23" i="2"/>
  <c r="F24" i="2"/>
  <c r="F8" i="2"/>
  <c r="F18" i="2"/>
  <c r="F11" i="2"/>
  <c r="F7" i="2"/>
  <c r="F13" i="2"/>
  <c r="F61" i="2"/>
  <c r="F10" i="2"/>
  <c r="F12" i="2"/>
  <c r="F21" i="2"/>
  <c r="F9" i="2"/>
  <c r="F45" i="2"/>
  <c r="F17" i="2"/>
  <c r="F15" i="2"/>
  <c r="F64" i="2"/>
  <c r="F19" i="2"/>
  <c r="F31" i="3"/>
  <c r="F70" i="2"/>
  <c r="F42" i="2"/>
  <c r="F29" i="2"/>
  <c r="F11" i="3"/>
  <c r="F34" i="2"/>
  <c r="F9" i="3"/>
  <c r="F8" i="3"/>
  <c r="F41" i="2"/>
  <c r="F47" i="2"/>
  <c r="F35" i="2"/>
  <c r="F37" i="2"/>
  <c r="F25" i="2"/>
  <c r="F21" i="3"/>
  <c r="F26" i="3"/>
  <c r="F30" i="2"/>
  <c r="F16" i="2"/>
  <c r="F23" i="3"/>
  <c r="F46" i="2"/>
  <c r="F71" i="2"/>
  <c r="F72" i="2"/>
  <c r="F27" i="2"/>
  <c r="F18" i="3"/>
  <c r="O65" i="2"/>
  <c r="O66" i="2"/>
  <c r="O67" i="2"/>
  <c r="O62" i="2"/>
  <c r="O68" i="2"/>
  <c r="C25" i="2"/>
  <c r="C38" i="3"/>
  <c r="C28" i="2"/>
  <c r="C46" i="2"/>
  <c r="C37" i="2"/>
  <c r="C27" i="2"/>
  <c r="C14" i="3"/>
  <c r="C30" i="2"/>
  <c r="C22" i="3"/>
  <c r="C18" i="3"/>
  <c r="C41" i="2"/>
  <c r="C29" i="3"/>
  <c r="C39" i="3"/>
  <c r="C7" i="3"/>
  <c r="C11" i="3"/>
  <c r="C64" i="3"/>
  <c r="C25" i="3"/>
  <c r="C28" i="3"/>
  <c r="C85" i="3"/>
  <c r="C23" i="3"/>
  <c r="C9" i="3"/>
  <c r="C71" i="2"/>
  <c r="V68" i="2"/>
  <c r="V65" i="2"/>
  <c r="V66" i="2"/>
  <c r="V67" i="2"/>
  <c r="V62" i="2"/>
  <c r="Z14" i="2"/>
  <c r="Z7" i="2"/>
  <c r="Z63" i="2"/>
  <c r="Z23" i="2"/>
  <c r="Z19" i="2"/>
  <c r="Z21" i="2"/>
  <c r="Z18" i="2"/>
  <c r="Z45" i="2"/>
  <c r="Z15" i="2"/>
  <c r="Z20" i="2"/>
  <c r="Z8" i="2"/>
  <c r="Z6" i="2"/>
  <c r="Z10" i="2"/>
  <c r="Z17" i="2"/>
  <c r="Z12" i="2"/>
  <c r="Z22" i="2"/>
  <c r="Z13" i="2"/>
  <c r="Z64" i="2"/>
  <c r="Z9" i="2"/>
  <c r="Z11" i="2"/>
  <c r="Z24" i="2"/>
  <c r="Z61" i="2"/>
  <c r="G8" i="2"/>
  <c r="G14" i="2"/>
  <c r="G45" i="2"/>
  <c r="G64" i="2"/>
  <c r="G63" i="2"/>
  <c r="G15" i="2"/>
  <c r="G9" i="2"/>
  <c r="G24" i="2"/>
  <c r="G20" i="2"/>
  <c r="G22" i="2"/>
  <c r="G12" i="2"/>
  <c r="G7" i="2"/>
  <c r="G10" i="2"/>
  <c r="G13" i="2"/>
  <c r="G17" i="2"/>
  <c r="G19" i="2"/>
  <c r="G11" i="2"/>
  <c r="G23" i="2"/>
  <c r="G18" i="2"/>
  <c r="G6" i="2"/>
  <c r="G21" i="2"/>
  <c r="G61" i="2"/>
  <c r="I16" i="2"/>
  <c r="I60" i="3"/>
  <c r="I54" i="3"/>
  <c r="I7" i="3"/>
  <c r="I31" i="2"/>
  <c r="I67" i="3"/>
  <c r="I34" i="2"/>
  <c r="I27" i="2"/>
  <c r="I46" i="2"/>
  <c r="I36" i="2"/>
  <c r="I71" i="2"/>
  <c r="I46" i="3"/>
  <c r="I28" i="2"/>
  <c r="I41" i="2"/>
  <c r="I50" i="3"/>
  <c r="I16" i="3"/>
  <c r="I25" i="2"/>
  <c r="I38" i="3"/>
  <c r="I29" i="2"/>
  <c r="I40" i="3"/>
  <c r="I26" i="2"/>
  <c r="I37" i="2"/>
  <c r="O17" i="2"/>
  <c r="O23" i="2"/>
  <c r="O63" i="2"/>
  <c r="O11" i="2"/>
  <c r="O13" i="2"/>
  <c r="O15" i="2"/>
  <c r="O6" i="2"/>
  <c r="O20" i="2"/>
  <c r="O61" i="2"/>
  <c r="O22" i="2"/>
  <c r="O12" i="2"/>
  <c r="O45" i="2"/>
  <c r="O19" i="2"/>
  <c r="O18" i="2"/>
  <c r="O24" i="2"/>
  <c r="O9" i="2"/>
  <c r="O8" i="2"/>
  <c r="O10" i="2"/>
  <c r="O64" i="2"/>
  <c r="O7" i="2"/>
  <c r="O21" i="2"/>
  <c r="O14" i="2"/>
  <c r="W6" i="2"/>
  <c r="W10" i="2"/>
  <c r="W61" i="2"/>
  <c r="W63" i="2"/>
  <c r="W64" i="2"/>
  <c r="W19" i="2"/>
  <c r="W18" i="2"/>
  <c r="W14" i="2"/>
  <c r="W8" i="2"/>
  <c r="J17" i="2"/>
  <c r="W21" i="2"/>
  <c r="J13" i="2"/>
  <c r="J10" i="2"/>
  <c r="W22" i="2"/>
  <c r="J20" i="2"/>
  <c r="W15" i="2"/>
  <c r="J8" i="2"/>
  <c r="W7" i="2"/>
  <c r="J63" i="2"/>
  <c r="W12" i="2"/>
  <c r="J14" i="2"/>
  <c r="W20" i="2"/>
  <c r="J15" i="2"/>
  <c r="J23" i="2"/>
  <c r="W17" i="2"/>
  <c r="J22" i="2"/>
  <c r="W45" i="2"/>
  <c r="W11" i="2"/>
  <c r="J45" i="2"/>
  <c r="W23" i="2"/>
  <c r="J19" i="2"/>
  <c r="W24" i="2"/>
  <c r="J12" i="2"/>
  <c r="J61" i="2"/>
  <c r="J21" i="2"/>
  <c r="J18" i="2"/>
  <c r="J11" i="2"/>
  <c r="J24" i="2"/>
  <c r="J6" i="2"/>
  <c r="J7" i="2"/>
  <c r="J64" i="2"/>
  <c r="J9" i="2"/>
  <c r="W9" i="2"/>
  <c r="W13" i="2"/>
  <c r="F68" i="2"/>
  <c r="F62" i="2"/>
  <c r="F67" i="2"/>
  <c r="F65" i="2"/>
  <c r="F66" i="2"/>
  <c r="J65" i="2"/>
  <c r="J68" i="2"/>
  <c r="J66" i="2"/>
  <c r="J62" i="2"/>
  <c r="J67" i="2"/>
  <c r="J42" i="2"/>
  <c r="J27" i="2"/>
  <c r="J41" i="2"/>
  <c r="J34" i="2"/>
  <c r="J30" i="2"/>
  <c r="J47" i="2"/>
  <c r="J35" i="2"/>
  <c r="J16" i="2"/>
  <c r="J26" i="2"/>
  <c r="J22" i="3"/>
  <c r="J8" i="3"/>
  <c r="J11" i="3"/>
  <c r="J72" i="2"/>
  <c r="J70" i="2"/>
  <c r="J37" i="2"/>
  <c r="J31" i="2"/>
  <c r="J28" i="3"/>
  <c r="J21" i="3"/>
  <c r="J9" i="3"/>
  <c r="J10" i="3"/>
  <c r="J27" i="3"/>
  <c r="J29" i="2"/>
  <c r="J66" i="3"/>
  <c r="R8" i="2"/>
  <c r="R61" i="2"/>
  <c r="R11" i="2"/>
  <c r="R12" i="2"/>
  <c r="R24" i="2"/>
  <c r="R21" i="2"/>
  <c r="R17" i="2"/>
  <c r="R9" i="2"/>
  <c r="R10" i="2"/>
  <c r="R22" i="2"/>
  <c r="R64" i="2"/>
  <c r="R18" i="2"/>
  <c r="R20" i="2"/>
  <c r="R23" i="2"/>
  <c r="R7" i="2"/>
  <c r="R45" i="2"/>
  <c r="R15" i="2"/>
  <c r="R6" i="2"/>
  <c r="R14" i="2"/>
  <c r="R63" i="2"/>
  <c r="R13" i="2"/>
  <c r="R19" i="2"/>
  <c r="G66" i="2"/>
  <c r="G67" i="2"/>
  <c r="G68" i="2"/>
  <c r="G65" i="2"/>
  <c r="G62" i="2"/>
  <c r="C6" i="2"/>
  <c r="C10" i="2"/>
  <c r="C18" i="2"/>
  <c r="C19" i="2"/>
  <c r="C22" i="2"/>
  <c r="C12" i="2"/>
  <c r="C15" i="2"/>
  <c r="C45" i="2"/>
  <c r="C20" i="2"/>
  <c r="C61" i="2"/>
  <c r="C17" i="2"/>
  <c r="C63" i="2"/>
  <c r="C11" i="2"/>
  <c r="C7" i="2"/>
  <c r="C8" i="2"/>
  <c r="C64" i="2"/>
  <c r="C21" i="2"/>
  <c r="C13" i="2"/>
  <c r="C23" i="2"/>
  <c r="C9" i="2"/>
  <c r="C14" i="2"/>
  <c r="C24" i="2"/>
  <c r="R68" i="2"/>
  <c r="R66" i="2"/>
  <c r="R65" i="2"/>
  <c r="R67" i="2"/>
  <c r="R62" i="2"/>
  <c r="M34" i="2"/>
  <c r="M12" i="3"/>
  <c r="M30" i="3"/>
  <c r="M20" i="3"/>
  <c r="M32" i="3"/>
  <c r="M28" i="3"/>
  <c r="M46" i="2"/>
  <c r="M16" i="2"/>
  <c r="M37" i="2"/>
  <c r="M16" i="3"/>
  <c r="M9" i="3"/>
  <c r="M42" i="3"/>
  <c r="M36" i="2"/>
  <c r="M71" i="2"/>
  <c r="M10" i="3"/>
  <c r="M34" i="3"/>
  <c r="M54" i="3"/>
  <c r="M46" i="3"/>
  <c r="M41" i="2"/>
  <c r="M31" i="2"/>
  <c r="M29" i="2"/>
  <c r="M26" i="2"/>
  <c r="K61" i="2"/>
  <c r="K14" i="2"/>
  <c r="K45" i="2"/>
  <c r="K20" i="2"/>
  <c r="K17" i="2"/>
  <c r="K11" i="2"/>
  <c r="K63" i="2"/>
  <c r="K6" i="2"/>
  <c r="K15" i="2"/>
  <c r="K7" i="2"/>
  <c r="K24" i="2"/>
  <c r="K18" i="2"/>
  <c r="K21" i="2"/>
  <c r="K8" i="2"/>
  <c r="K9" i="2"/>
  <c r="K10" i="2"/>
  <c r="K19" i="2"/>
  <c r="K64" i="2"/>
  <c r="K13" i="2"/>
  <c r="K22" i="2"/>
  <c r="K23" i="2"/>
  <c r="K12" i="2"/>
  <c r="K16" i="3"/>
  <c r="K12" i="3"/>
  <c r="K31" i="3"/>
  <c r="K21" i="3"/>
  <c r="K8" i="3"/>
  <c r="K34" i="2"/>
  <c r="K25" i="2"/>
  <c r="K9" i="3"/>
  <c r="K39" i="3"/>
  <c r="K25" i="3"/>
  <c r="K31" i="2"/>
  <c r="K33" i="3"/>
  <c r="K20" i="3"/>
  <c r="K14" i="3"/>
  <c r="K29" i="2"/>
  <c r="K70" i="2"/>
  <c r="K27" i="2"/>
  <c r="K32" i="3"/>
  <c r="K72" i="2"/>
  <c r="K42" i="3"/>
  <c r="K26" i="3"/>
  <c r="K16" i="2"/>
  <c r="L34" i="3"/>
  <c r="L41" i="2"/>
  <c r="L18" i="3"/>
  <c r="L38" i="3"/>
  <c r="L16" i="2"/>
  <c r="L16" i="3"/>
  <c r="L71" i="2"/>
  <c r="L42" i="3"/>
  <c r="L30" i="3"/>
  <c r="L29" i="2"/>
  <c r="L32" i="3"/>
  <c r="L19" i="3"/>
  <c r="L15" i="3"/>
  <c r="L40" i="3"/>
  <c r="L46" i="2"/>
  <c r="L21" i="3"/>
  <c r="L31" i="2"/>
  <c r="L54" i="3"/>
  <c r="L10" i="3"/>
  <c r="L37" i="2"/>
  <c r="L27" i="2"/>
  <c r="L9" i="3"/>
  <c r="N77" i="3"/>
  <c r="N34" i="3"/>
  <c r="N33" i="3"/>
  <c r="N27" i="2"/>
  <c r="N19" i="3"/>
  <c r="N58" i="3"/>
  <c r="N39" i="3"/>
  <c r="N14" i="3"/>
  <c r="N41" i="3"/>
  <c r="N57" i="3"/>
  <c r="N26" i="3"/>
  <c r="N50" i="3"/>
  <c r="N9" i="3"/>
  <c r="N11" i="3"/>
  <c r="N30" i="3"/>
  <c r="N70" i="2"/>
  <c r="N31" i="3"/>
  <c r="N8" i="3"/>
  <c r="N54" i="3"/>
  <c r="N29" i="3"/>
  <c r="N46" i="3"/>
  <c r="N28" i="3"/>
  <c r="Z62" i="2"/>
  <c r="Z65" i="2"/>
  <c r="Z66" i="2"/>
  <c r="Z68" i="2"/>
  <c r="Z67" i="2"/>
  <c r="D28" i="2"/>
  <c r="D41" i="3"/>
  <c r="D10" i="3"/>
  <c r="D13" i="3"/>
  <c r="D70" i="2"/>
  <c r="D71" i="3"/>
  <c r="D53" i="3"/>
  <c r="D17" i="3"/>
  <c r="D42" i="2"/>
  <c r="D21" i="3"/>
  <c r="D57" i="3"/>
  <c r="D30" i="2"/>
  <c r="D20" i="3"/>
  <c r="D45" i="3"/>
  <c r="D18" i="3"/>
  <c r="D23" i="3"/>
  <c r="D26" i="2"/>
  <c r="D14" i="3"/>
  <c r="D8" i="3"/>
  <c r="D36" i="2"/>
  <c r="D49" i="3"/>
  <c r="D12" i="3"/>
  <c r="P11" i="3"/>
  <c r="P26" i="3"/>
  <c r="P38" i="3"/>
  <c r="P62" i="3"/>
  <c r="P60" i="3"/>
  <c r="P29" i="3"/>
  <c r="P18" i="3"/>
  <c r="P28" i="3"/>
  <c r="P33" i="3"/>
  <c r="P31" i="3"/>
  <c r="P42" i="3"/>
  <c r="P48" i="3"/>
  <c r="P37" i="2"/>
  <c r="P54" i="3"/>
  <c r="P34" i="3"/>
  <c r="P14" i="3"/>
  <c r="P27" i="3"/>
  <c r="P24" i="3"/>
  <c r="P32" i="3"/>
  <c r="P19" i="3"/>
  <c r="P35" i="3"/>
  <c r="P40" i="3"/>
  <c r="Z27" i="2"/>
  <c r="Z47" i="2"/>
  <c r="Z35" i="2"/>
  <c r="Z71" i="2"/>
  <c r="Z26" i="2"/>
  <c r="Z37" i="2"/>
  <c r="Z41" i="2"/>
  <c r="Z31" i="2"/>
  <c r="Z34" i="4"/>
  <c r="Z56" i="3"/>
  <c r="Z29" i="2"/>
  <c r="Z70" i="2"/>
  <c r="Z8" i="4"/>
  <c r="Z86" i="3"/>
  <c r="Z30" i="2"/>
  <c r="Z26" i="4"/>
  <c r="Z36" i="2"/>
  <c r="Z16" i="2"/>
  <c r="Z42" i="2"/>
  <c r="Z34" i="2"/>
  <c r="Z72" i="2"/>
  <c r="Z46" i="2"/>
  <c r="Z25" i="2"/>
  <c r="S22" i="2"/>
  <c r="S15" i="2"/>
  <c r="S13" i="2"/>
  <c r="S64" i="2"/>
  <c r="S45" i="2"/>
  <c r="S23" i="2"/>
  <c r="S21" i="2"/>
  <c r="S9" i="2"/>
  <c r="S24" i="2"/>
  <c r="S6" i="2"/>
  <c r="S7" i="2"/>
  <c r="S10" i="2"/>
  <c r="S11" i="2"/>
  <c r="S19" i="2"/>
  <c r="S12" i="2"/>
  <c r="S8" i="2"/>
  <c r="S20" i="2"/>
  <c r="S17" i="2"/>
  <c r="S61" i="2"/>
  <c r="S63" i="2"/>
  <c r="S18" i="2"/>
  <c r="S14" i="2"/>
  <c r="S68" i="2"/>
  <c r="S67" i="2"/>
  <c r="S62" i="2"/>
  <c r="S65" i="2"/>
  <c r="S66" i="2"/>
  <c r="O71" i="2"/>
  <c r="O28" i="2"/>
  <c r="O60" i="3"/>
  <c r="O41" i="2"/>
  <c r="O32" i="4"/>
  <c r="O21" i="3"/>
  <c r="O10" i="4"/>
  <c r="O37" i="2"/>
  <c r="O36" i="2"/>
  <c r="O77" i="3"/>
  <c r="O26" i="2"/>
  <c r="O46" i="2"/>
  <c r="O19" i="3"/>
  <c r="O29" i="2"/>
  <c r="O9" i="3"/>
  <c r="O31" i="2"/>
  <c r="O11" i="3"/>
  <c r="O62" i="3"/>
  <c r="O15" i="3"/>
  <c r="O16" i="2"/>
  <c r="O47" i="2"/>
  <c r="O35" i="2"/>
  <c r="O34" i="2"/>
  <c r="I9" i="2"/>
  <c r="I14" i="2"/>
  <c r="I10" i="2"/>
  <c r="I13" i="2"/>
  <c r="I17" i="2"/>
  <c r="I7" i="2"/>
  <c r="I24" i="2"/>
  <c r="I12" i="2"/>
  <c r="I21" i="2"/>
  <c r="I19" i="2"/>
  <c r="I45" i="2"/>
  <c r="I11" i="2"/>
  <c r="I63" i="2"/>
  <c r="I6" i="2"/>
  <c r="I8" i="2"/>
  <c r="I22" i="2"/>
  <c r="I61" i="2"/>
  <c r="I20" i="2"/>
  <c r="I64" i="2"/>
  <c r="I23" i="2"/>
  <c r="I18" i="2"/>
  <c r="I15" i="2"/>
  <c r="Y12" i="2"/>
  <c r="Y11" i="2"/>
  <c r="Y63" i="2"/>
  <c r="Y24" i="2"/>
  <c r="Y17" i="2"/>
  <c r="Y8" i="2"/>
  <c r="Y19" i="2"/>
  <c r="Y23" i="2"/>
  <c r="Y13" i="2"/>
  <c r="Y64" i="2"/>
  <c r="Y20" i="2"/>
  <c r="Y14" i="2"/>
  <c r="Y7" i="2"/>
  <c r="Y9" i="2"/>
  <c r="Y18" i="2"/>
  <c r="Y61" i="2"/>
  <c r="Y6" i="2"/>
  <c r="Y10" i="2"/>
  <c r="Y21" i="2"/>
  <c r="Y45" i="2"/>
  <c r="Y22" i="2"/>
  <c r="Y15" i="2"/>
  <c r="E34" i="2"/>
  <c r="E21" i="3"/>
  <c r="E42" i="2"/>
  <c r="E25" i="3"/>
  <c r="E28" i="2"/>
  <c r="E13" i="3"/>
  <c r="E41" i="2"/>
  <c r="E10" i="3"/>
  <c r="E33" i="3"/>
  <c r="E30" i="2"/>
  <c r="E45" i="3"/>
  <c r="E8" i="3"/>
  <c r="E11" i="3"/>
  <c r="E15" i="3"/>
  <c r="E59" i="3"/>
  <c r="E47" i="2"/>
  <c r="E35" i="2"/>
  <c r="E53" i="3"/>
  <c r="E16" i="2"/>
  <c r="E27" i="2"/>
  <c r="E49" i="3"/>
  <c r="E25" i="2"/>
  <c r="E57" i="3"/>
  <c r="C66" i="2"/>
  <c r="C67" i="2"/>
  <c r="C62" i="2"/>
  <c r="C68" i="2"/>
  <c r="C65" i="2"/>
  <c r="K67" i="2"/>
  <c r="K66" i="2"/>
  <c r="K68" i="2"/>
  <c r="K62" i="2"/>
  <c r="K65" i="2"/>
  <c r="G16" i="3"/>
  <c r="G27" i="4"/>
  <c r="G14" i="3"/>
  <c r="G37" i="2"/>
  <c r="G41" i="2"/>
  <c r="G42" i="2"/>
  <c r="G10" i="3"/>
  <c r="G25" i="2"/>
  <c r="G34" i="2"/>
  <c r="G35" i="4"/>
  <c r="G59" i="3"/>
  <c r="G46" i="2"/>
  <c r="G27" i="2"/>
  <c r="G28" i="2"/>
  <c r="G29" i="2"/>
  <c r="G18" i="3"/>
  <c r="G16" i="2"/>
  <c r="G47" i="2"/>
  <c r="G35" i="2"/>
  <c r="G8" i="3"/>
  <c r="G14" i="4"/>
  <c r="G70" i="2"/>
  <c r="G30" i="2"/>
  <c r="C19" i="3"/>
  <c r="C27" i="3"/>
  <c r="C52" i="3"/>
  <c r="C14" i="4"/>
  <c r="C44" i="3"/>
  <c r="C47" i="2"/>
  <c r="C35" i="2"/>
  <c r="C42" i="2"/>
  <c r="C13" i="3"/>
  <c r="C36" i="2"/>
  <c r="C26" i="3"/>
  <c r="C17" i="3"/>
  <c r="C21" i="3"/>
  <c r="C59" i="3"/>
  <c r="C48" i="3"/>
  <c r="C8" i="3"/>
  <c r="C72" i="2"/>
  <c r="C56" i="3"/>
  <c r="C68" i="3"/>
  <c r="C67" i="3"/>
  <c r="C31" i="2"/>
  <c r="C70" i="2"/>
  <c r="C10" i="3"/>
  <c r="Q15" i="2"/>
  <c r="Q6" i="2"/>
  <c r="Q13" i="2"/>
  <c r="Q14" i="2"/>
  <c r="Q45" i="2"/>
  <c r="Q24" i="2"/>
  <c r="Q64" i="2"/>
  <c r="Q8" i="2"/>
  <c r="Q7" i="2"/>
  <c r="Q23" i="2"/>
  <c r="Q9" i="2"/>
  <c r="Q11" i="2"/>
  <c r="Q63" i="2"/>
  <c r="Q22" i="2"/>
  <c r="Q17" i="2"/>
  <c r="Q19" i="2"/>
  <c r="Q18" i="2"/>
  <c r="Q12" i="2"/>
  <c r="Q10" i="2"/>
  <c r="Q21" i="2"/>
  <c r="Q20" i="2"/>
  <c r="Q61" i="2"/>
  <c r="T9" i="2"/>
  <c r="T61" i="2"/>
  <c r="T20" i="2"/>
  <c r="T11" i="2"/>
  <c r="T17" i="2"/>
  <c r="T63" i="2"/>
  <c r="T64" i="2"/>
  <c r="T13" i="2"/>
  <c r="T45" i="2"/>
  <c r="T14" i="2"/>
  <c r="T10" i="2"/>
  <c r="T8" i="2"/>
  <c r="T6" i="2"/>
  <c r="T18" i="2"/>
  <c r="T19" i="2"/>
  <c r="T23" i="2"/>
  <c r="T7" i="2"/>
  <c r="T12" i="2"/>
  <c r="T22" i="2"/>
  <c r="T15" i="2"/>
  <c r="T21" i="2"/>
  <c r="T24" i="2"/>
  <c r="J35" i="3"/>
  <c r="J12" i="3"/>
  <c r="J38" i="3"/>
  <c r="J34" i="3"/>
  <c r="J46" i="3"/>
  <c r="J41" i="3"/>
  <c r="J12" i="4"/>
  <c r="J50" i="3"/>
  <c r="J20" i="3"/>
  <c r="J16" i="3"/>
  <c r="J33" i="3"/>
  <c r="J54" i="3"/>
  <c r="J46" i="2"/>
  <c r="J58" i="3"/>
  <c r="J7" i="3"/>
  <c r="J61" i="3"/>
  <c r="J32" i="4"/>
  <c r="J40" i="3"/>
  <c r="J71" i="2"/>
  <c r="J15" i="3"/>
  <c r="J70" i="3"/>
  <c r="J39" i="3"/>
  <c r="Q66" i="2"/>
  <c r="Q67" i="2"/>
  <c r="Q65" i="2"/>
  <c r="Q68" i="2"/>
  <c r="Q62" i="2"/>
  <c r="Y66" i="2"/>
  <c r="Y68" i="2"/>
  <c r="Y62" i="2"/>
  <c r="Y67" i="2"/>
  <c r="Y65" i="2"/>
  <c r="K46" i="2"/>
  <c r="K45" i="3"/>
  <c r="K40" i="3"/>
  <c r="K13" i="3"/>
  <c r="K65" i="3"/>
  <c r="K63" i="3"/>
  <c r="K71" i="2"/>
  <c r="K47" i="2"/>
  <c r="K35" i="2"/>
  <c r="K53" i="3"/>
  <c r="K35" i="3"/>
  <c r="K34" i="3"/>
  <c r="K7" i="3"/>
  <c r="K41" i="2"/>
  <c r="K38" i="3"/>
  <c r="K57" i="3"/>
  <c r="K37" i="2"/>
  <c r="K41" i="3"/>
  <c r="K15" i="3"/>
  <c r="K78" i="3"/>
  <c r="K10" i="3"/>
  <c r="K17" i="3"/>
  <c r="K49" i="3"/>
  <c r="F34" i="3"/>
  <c r="F56" i="3"/>
  <c r="F13" i="3"/>
  <c r="F16" i="3"/>
  <c r="F24" i="3"/>
  <c r="F42" i="3"/>
  <c r="F44" i="3"/>
  <c r="F48" i="3"/>
  <c r="F59" i="3"/>
  <c r="F36" i="2"/>
  <c r="F28" i="3"/>
  <c r="F45" i="3"/>
  <c r="F25" i="3"/>
  <c r="F17" i="3"/>
  <c r="F57" i="3"/>
  <c r="F39" i="3"/>
  <c r="F61" i="3"/>
  <c r="F53" i="3"/>
  <c r="F14" i="3"/>
  <c r="F52" i="3"/>
  <c r="F7" i="3"/>
  <c r="F49" i="3"/>
  <c r="I68" i="2"/>
  <c r="I65" i="2"/>
  <c r="I62" i="2"/>
  <c r="I67" i="2"/>
  <c r="I66" i="2"/>
  <c r="L64" i="2"/>
  <c r="L18" i="2"/>
  <c r="L22" i="2"/>
  <c r="L14" i="2"/>
  <c r="L19" i="2"/>
  <c r="L45" i="2"/>
  <c r="L6" i="2"/>
  <c r="L9" i="2"/>
  <c r="L20" i="2"/>
  <c r="L61" i="2"/>
  <c r="L11" i="2"/>
  <c r="L23" i="2"/>
  <c r="L15" i="2"/>
  <c r="L12" i="2"/>
  <c r="L10" i="2"/>
  <c r="L21" i="2"/>
  <c r="L13" i="2"/>
  <c r="L24" i="2"/>
  <c r="L63" i="2"/>
  <c r="L7" i="2"/>
  <c r="L17" i="2"/>
  <c r="L8" i="2"/>
  <c r="Y34" i="2"/>
  <c r="Y36" i="2"/>
  <c r="Y15" i="4"/>
  <c r="Y16" i="2"/>
  <c r="Y8" i="4"/>
  <c r="Y46" i="2"/>
  <c r="Y26" i="3"/>
  <c r="Y27" i="2"/>
  <c r="Y70" i="2"/>
  <c r="Y30" i="2"/>
  <c r="Y72" i="2"/>
  <c r="Y71" i="2"/>
  <c r="Y86" i="3"/>
  <c r="Y42" i="2"/>
  <c r="Y41" i="2"/>
  <c r="Y25" i="2"/>
  <c r="Y31" i="2"/>
  <c r="Y26" i="2"/>
  <c r="Y29" i="2"/>
  <c r="Y37" i="2"/>
  <c r="Y47" i="2"/>
  <c r="Y35" i="2"/>
  <c r="Y46" i="3"/>
  <c r="I22" i="3"/>
  <c r="I12" i="4"/>
  <c r="I58" i="3"/>
  <c r="I48" i="3"/>
  <c r="I52" i="3"/>
  <c r="I72" i="2"/>
  <c r="I8" i="3"/>
  <c r="I18" i="3"/>
  <c r="I56" i="3"/>
  <c r="I70" i="2"/>
  <c r="I44" i="3"/>
  <c r="I24" i="3"/>
  <c r="I61" i="3"/>
  <c r="I66" i="3"/>
  <c r="I20" i="3"/>
  <c r="I28" i="3"/>
  <c r="I63" i="3"/>
  <c r="I11" i="3"/>
  <c r="I14" i="3"/>
  <c r="I47" i="2"/>
  <c r="I35" i="2"/>
  <c r="I26" i="3"/>
  <c r="I12" i="3"/>
  <c r="T67" i="2"/>
  <c r="T62" i="2"/>
  <c r="T66" i="2"/>
  <c r="T65" i="2"/>
  <c r="T68" i="2"/>
  <c r="M20" i="2"/>
  <c r="M8" i="2"/>
  <c r="M24" i="2"/>
  <c r="M6" i="2"/>
  <c r="M22" i="2"/>
  <c r="M19" i="2"/>
  <c r="M11" i="2"/>
  <c r="M61" i="2"/>
  <c r="M21" i="2"/>
  <c r="M9" i="2"/>
  <c r="M23" i="2"/>
  <c r="M63" i="2"/>
  <c r="M45" i="2"/>
  <c r="M17" i="2"/>
  <c r="M14" i="2"/>
  <c r="M15" i="2"/>
  <c r="M10" i="2"/>
  <c r="M13" i="2"/>
  <c r="M64" i="2"/>
  <c r="M18" i="2"/>
  <c r="M12" i="2"/>
  <c r="M7" i="2"/>
  <c r="D23" i="2"/>
  <c r="D12" i="2"/>
  <c r="D18" i="2"/>
  <c r="D17" i="2"/>
  <c r="D10" i="2"/>
  <c r="D45" i="2"/>
  <c r="D7" i="2"/>
  <c r="D9" i="2"/>
  <c r="D19" i="2"/>
  <c r="D61" i="2"/>
  <c r="D11" i="2"/>
  <c r="D14" i="2"/>
  <c r="D20" i="2"/>
  <c r="D63" i="2"/>
  <c r="D8" i="2"/>
  <c r="D21" i="2"/>
  <c r="D22" i="2"/>
  <c r="D6" i="2"/>
  <c r="D64" i="2"/>
  <c r="D24" i="2"/>
  <c r="D15" i="2"/>
  <c r="D13" i="2"/>
  <c r="D62" i="2"/>
  <c r="D65" i="2"/>
  <c r="D68" i="2"/>
  <c r="D67" i="2"/>
  <c r="D66" i="2"/>
  <c r="E23" i="2"/>
  <c r="E21" i="2"/>
  <c r="E45" i="2"/>
  <c r="E64" i="2"/>
  <c r="E11" i="2"/>
  <c r="E10" i="2"/>
  <c r="E17" i="2"/>
  <c r="E63" i="2"/>
  <c r="E8" i="2"/>
  <c r="E13" i="2"/>
  <c r="E19" i="2"/>
  <c r="E18" i="2"/>
  <c r="E14" i="2"/>
  <c r="E9" i="2"/>
  <c r="E12" i="2"/>
  <c r="E15" i="2"/>
  <c r="E6" i="2"/>
  <c r="E24" i="2"/>
  <c r="E22" i="2"/>
  <c r="E7" i="2"/>
  <c r="E61" i="2"/>
  <c r="E20" i="2"/>
  <c r="H28" i="3"/>
  <c r="H42" i="2"/>
  <c r="H19" i="3"/>
  <c r="H47" i="3"/>
  <c r="H29" i="3"/>
  <c r="H63" i="3"/>
  <c r="H14" i="3"/>
  <c r="H23" i="3"/>
  <c r="H20" i="3"/>
  <c r="H53" i="3"/>
  <c r="H11" i="3"/>
  <c r="H25" i="3"/>
  <c r="H64" i="3"/>
  <c r="H17" i="3"/>
  <c r="H35" i="3"/>
  <c r="H61" i="3"/>
  <c r="H41" i="3"/>
  <c r="H21" i="3"/>
  <c r="H16" i="3"/>
  <c r="H39" i="3"/>
  <c r="H26" i="3"/>
  <c r="H13" i="3"/>
  <c r="D7" i="3"/>
  <c r="D46" i="2"/>
  <c r="D51" i="3"/>
  <c r="U14" i="2"/>
  <c r="D11" i="3"/>
  <c r="U64" i="2"/>
  <c r="D41" i="2"/>
  <c r="D43" i="3"/>
  <c r="U21" i="2"/>
  <c r="D29" i="3"/>
  <c r="U12" i="2"/>
  <c r="D47" i="3"/>
  <c r="D22" i="3"/>
  <c r="U19" i="2"/>
  <c r="D29" i="2"/>
  <c r="U18" i="2"/>
  <c r="U63" i="2"/>
  <c r="D25" i="2"/>
  <c r="U45" i="2"/>
  <c r="D25" i="3"/>
  <c r="D19" i="3"/>
  <c r="U6" i="2"/>
  <c r="U15" i="2"/>
  <c r="D31" i="2"/>
  <c r="D27" i="2"/>
  <c r="D71" i="2"/>
  <c r="D9" i="3"/>
  <c r="U9" i="2"/>
  <c r="D37" i="2"/>
  <c r="D67" i="3"/>
  <c r="D55" i="3"/>
  <c r="U17" i="2"/>
  <c r="D31" i="3"/>
  <c r="U22" i="2"/>
  <c r="U8" i="2"/>
  <c r="U10" i="2"/>
  <c r="D47" i="2"/>
  <c r="D35" i="2"/>
  <c r="U61" i="2"/>
  <c r="U11" i="2"/>
  <c r="U13" i="2"/>
  <c r="U23" i="2"/>
  <c r="U20" i="2"/>
  <c r="U24" i="2"/>
  <c r="U7" i="2"/>
  <c r="E68" i="2"/>
  <c r="E67" i="2"/>
  <c r="E65" i="2"/>
  <c r="E62" i="2"/>
  <c r="E66" i="2"/>
  <c r="X23" i="2"/>
  <c r="X9" i="2"/>
  <c r="X24" i="2"/>
  <c r="X10" i="2"/>
  <c r="X12" i="2"/>
  <c r="X15" i="2"/>
  <c r="X45" i="2"/>
  <c r="X20" i="2"/>
  <c r="X18" i="2"/>
  <c r="X13" i="2"/>
  <c r="X14" i="2"/>
  <c r="X22" i="2"/>
  <c r="X17" i="2"/>
  <c r="X19" i="2"/>
  <c r="X6" i="2"/>
  <c r="X61" i="2"/>
  <c r="X7" i="2"/>
  <c r="X63" i="2"/>
  <c r="X8" i="2"/>
  <c r="X21" i="2"/>
  <c r="X64" i="2"/>
  <c r="X11" i="2"/>
  <c r="H20" i="2"/>
  <c r="H8" i="2"/>
  <c r="H7" i="2"/>
  <c r="H23" i="2"/>
  <c r="H19" i="2"/>
  <c r="H15" i="2"/>
  <c r="H17" i="2"/>
  <c r="H10" i="2"/>
  <c r="H63" i="2"/>
  <c r="H9" i="2"/>
  <c r="H11" i="2"/>
  <c r="H12" i="2"/>
  <c r="H21" i="2"/>
  <c r="H22" i="2"/>
  <c r="H6" i="2"/>
  <c r="H45" i="2"/>
  <c r="H24" i="2"/>
  <c r="H13" i="2"/>
  <c r="H18" i="2"/>
  <c r="H61" i="2"/>
  <c r="H64" i="2"/>
  <c r="H14" i="2"/>
  <c r="P12" i="2"/>
  <c r="P11" i="2"/>
  <c r="P9" i="2"/>
  <c r="P23" i="2"/>
  <c r="P14" i="2"/>
  <c r="P8" i="2"/>
  <c r="P19" i="2"/>
  <c r="P24" i="2"/>
  <c r="P13" i="2"/>
  <c r="P64" i="2"/>
  <c r="P6" i="2"/>
  <c r="P22" i="2"/>
  <c r="P18" i="2"/>
  <c r="P21" i="2"/>
  <c r="P61" i="2"/>
  <c r="P63" i="2"/>
  <c r="P10" i="2"/>
  <c r="P7" i="2"/>
  <c r="P15" i="2"/>
  <c r="P45" i="2"/>
  <c r="P17" i="2"/>
  <c r="P20" i="2"/>
  <c r="U68" i="2"/>
  <c r="U66" i="2"/>
  <c r="U67" i="2"/>
  <c r="U62" i="2"/>
  <c r="U65" i="2"/>
  <c r="L14" i="3"/>
  <c r="L56" i="3"/>
  <c r="L72" i="2"/>
  <c r="L26" i="2"/>
  <c r="L28" i="2"/>
  <c r="L46" i="3"/>
  <c r="L22" i="3"/>
  <c r="L63" i="3"/>
  <c r="L52" i="3"/>
  <c r="L8" i="3"/>
  <c r="L20" i="3"/>
  <c r="L34" i="2"/>
  <c r="L36" i="2"/>
  <c r="L42" i="2"/>
  <c r="L48" i="3"/>
  <c r="L70" i="2"/>
  <c r="L78" i="3"/>
  <c r="L12" i="3"/>
  <c r="L30" i="2"/>
  <c r="L44" i="3"/>
  <c r="L50" i="3"/>
  <c r="L47" i="2"/>
  <c r="L35" i="2"/>
  <c r="M68" i="2"/>
  <c r="M67" i="2"/>
  <c r="M66" i="2"/>
  <c r="M62" i="2"/>
  <c r="M65" i="2"/>
  <c r="N66" i="3"/>
  <c r="N55" i="3"/>
  <c r="N18" i="3"/>
  <c r="N51" i="3"/>
  <c r="N44" i="3"/>
  <c r="N47" i="3"/>
  <c r="N17" i="3"/>
  <c r="N25" i="3"/>
  <c r="N43" i="3"/>
  <c r="N52" i="3"/>
  <c r="N27" i="3"/>
  <c r="N13" i="3"/>
  <c r="N48" i="3"/>
  <c r="N56" i="3"/>
  <c r="N49" i="3"/>
  <c r="N45" i="3"/>
  <c r="N63" i="3"/>
  <c r="N10" i="3"/>
  <c r="N21" i="3"/>
  <c r="N53" i="3"/>
  <c r="N24" i="3"/>
  <c r="N16" i="3"/>
  <c r="S54" i="4"/>
  <c r="S31" i="2"/>
  <c r="S46" i="2"/>
  <c r="S28" i="2"/>
  <c r="S70" i="2"/>
  <c r="S42" i="2"/>
  <c r="S25" i="2"/>
  <c r="S41" i="2"/>
  <c r="S46" i="3"/>
  <c r="S37" i="2"/>
  <c r="S26" i="2"/>
  <c r="S42" i="4"/>
  <c r="S72" i="2"/>
  <c r="S26" i="3"/>
  <c r="S47" i="2"/>
  <c r="S35" i="2"/>
  <c r="S56" i="3"/>
  <c r="S16" i="2"/>
  <c r="S34" i="2"/>
  <c r="S27" i="2"/>
  <c r="S30" i="2"/>
  <c r="S71" i="2"/>
  <c r="S36" i="2"/>
  <c r="P72" i="3"/>
  <c r="P17" i="3"/>
  <c r="P47" i="2"/>
  <c r="P35" i="2"/>
  <c r="P51" i="3"/>
  <c r="P23" i="3"/>
  <c r="P68" i="3"/>
  <c r="P21" i="3"/>
  <c r="P22" i="3"/>
  <c r="P65" i="3"/>
  <c r="P47" i="3"/>
  <c r="P41" i="3"/>
  <c r="P10" i="3"/>
  <c r="P55" i="3"/>
  <c r="P76" i="3"/>
  <c r="P25" i="3"/>
  <c r="P59" i="3"/>
  <c r="P70" i="2"/>
  <c r="P72" i="2"/>
  <c r="P45" i="3"/>
  <c r="P8" i="3"/>
  <c r="P43" i="3"/>
  <c r="P13" i="3"/>
  <c r="F54" i="3"/>
  <c r="F38" i="3"/>
  <c r="F35" i="3"/>
  <c r="F66" i="3"/>
  <c r="F20" i="3"/>
  <c r="F30" i="3"/>
  <c r="F19" i="3"/>
  <c r="F58" i="3"/>
  <c r="F12" i="3"/>
  <c r="F15" i="3"/>
  <c r="F46" i="3"/>
  <c r="F51" i="3"/>
  <c r="F64" i="3"/>
  <c r="F32" i="3"/>
  <c r="F41" i="3"/>
  <c r="F33" i="3"/>
  <c r="F43" i="3"/>
  <c r="F55" i="3"/>
  <c r="F29" i="3"/>
  <c r="F27" i="3"/>
  <c r="F74" i="3"/>
  <c r="F47" i="3"/>
  <c r="X68" i="2"/>
  <c r="X66" i="2"/>
  <c r="X67" i="2"/>
  <c r="X62" i="2"/>
  <c r="X65" i="2"/>
  <c r="H67" i="2"/>
  <c r="H65" i="2"/>
  <c r="H68" i="2"/>
  <c r="H66" i="2"/>
  <c r="H62" i="2"/>
  <c r="H66" i="3"/>
  <c r="H7" i="3"/>
  <c r="H71" i="2"/>
  <c r="H38" i="3"/>
  <c r="H46" i="2"/>
  <c r="H9" i="3"/>
  <c r="H15" i="3"/>
  <c r="H48" i="3"/>
  <c r="H33" i="3"/>
  <c r="H31" i="3"/>
  <c r="H56" i="3"/>
  <c r="H50" i="3"/>
  <c r="H40" i="3"/>
  <c r="H30" i="3"/>
  <c r="H46" i="3"/>
  <c r="H54" i="3"/>
  <c r="H34" i="3"/>
  <c r="H44" i="3"/>
  <c r="H58" i="3"/>
  <c r="H27" i="3"/>
  <c r="H52" i="3"/>
  <c r="H42" i="3"/>
  <c r="P68" i="2"/>
  <c r="P65" i="2"/>
  <c r="P62" i="2"/>
  <c r="P67" i="2"/>
  <c r="P66" i="2"/>
  <c r="C12" i="3"/>
  <c r="C15" i="3"/>
  <c r="C40" i="3"/>
  <c r="C54" i="4"/>
  <c r="C22" i="4"/>
  <c r="C43" i="3"/>
  <c r="C41" i="3"/>
  <c r="C84" i="3"/>
  <c r="C16" i="3"/>
  <c r="C42" i="3"/>
  <c r="C35" i="3"/>
  <c r="C34" i="3"/>
  <c r="C32" i="3"/>
  <c r="C31" i="3"/>
  <c r="C46" i="3"/>
  <c r="C33" i="3"/>
  <c r="C54" i="3"/>
  <c r="C20" i="3"/>
  <c r="C30" i="3"/>
  <c r="C62" i="3"/>
  <c r="C70" i="3"/>
  <c r="C50" i="3"/>
  <c r="W36" i="2"/>
  <c r="W34" i="2"/>
  <c r="W70" i="2"/>
  <c r="W46" i="2"/>
  <c r="W29" i="4"/>
  <c r="W42" i="2"/>
  <c r="W17" i="4"/>
  <c r="W72" i="2"/>
  <c r="W16" i="2"/>
  <c r="W28" i="2"/>
  <c r="W86" i="3"/>
  <c r="W25" i="2"/>
  <c r="W30" i="2"/>
  <c r="W37" i="2"/>
  <c r="W15" i="4"/>
  <c r="W26" i="2"/>
  <c r="W47" i="2"/>
  <c r="W35" i="2"/>
  <c r="W27" i="2"/>
  <c r="W37" i="4"/>
  <c r="W71" i="2"/>
  <c r="W41" i="2"/>
  <c r="W29" i="2"/>
  <c r="L11" i="3"/>
  <c r="L62" i="3"/>
  <c r="L26" i="3"/>
  <c r="L59" i="3"/>
  <c r="L67" i="3"/>
  <c r="L84" i="3"/>
  <c r="L86" i="3"/>
  <c r="L69" i="3"/>
  <c r="L75" i="3"/>
  <c r="L74" i="3"/>
  <c r="L77" i="3"/>
  <c r="L70" i="3"/>
  <c r="L28" i="3"/>
  <c r="L58" i="3"/>
  <c r="L60" i="3"/>
  <c r="L61" i="3"/>
  <c r="L55" i="3"/>
  <c r="L85" i="3"/>
  <c r="L72" i="3"/>
  <c r="L64" i="3"/>
  <c r="L66" i="3"/>
  <c r="L73" i="3"/>
  <c r="K11" i="3"/>
  <c r="K24" i="3"/>
  <c r="K23" i="3"/>
  <c r="K46" i="3"/>
  <c r="K28" i="3"/>
  <c r="K51" i="3"/>
  <c r="K29" i="3"/>
  <c r="K55" i="3"/>
  <c r="K69" i="3"/>
  <c r="K30" i="3"/>
  <c r="K18" i="3"/>
  <c r="K60" i="3"/>
  <c r="K52" i="3"/>
  <c r="K73" i="3"/>
  <c r="K19" i="3"/>
  <c r="K43" i="3"/>
  <c r="K7" i="4"/>
  <c r="K52" i="4"/>
  <c r="K22" i="3"/>
  <c r="K44" i="3"/>
  <c r="K47" i="3"/>
  <c r="K27" i="3"/>
  <c r="R42" i="2"/>
  <c r="R71" i="2"/>
  <c r="R16" i="2"/>
  <c r="R30" i="2"/>
  <c r="R17" i="4"/>
  <c r="R72" i="2"/>
  <c r="R28" i="2"/>
  <c r="R37" i="2"/>
  <c r="R26" i="2"/>
  <c r="R37" i="4"/>
  <c r="R47" i="2"/>
  <c r="R35" i="2"/>
  <c r="R25" i="2"/>
  <c r="R29" i="2"/>
  <c r="R41" i="2"/>
  <c r="R31" i="2"/>
  <c r="R34" i="2"/>
  <c r="R29" i="4"/>
  <c r="R27" i="2"/>
  <c r="R26" i="3"/>
  <c r="R70" i="2"/>
  <c r="R36" i="2"/>
  <c r="R15" i="4"/>
  <c r="J10" i="4"/>
  <c r="J23" i="3"/>
  <c r="J73" i="3"/>
  <c r="J24" i="4"/>
  <c r="J31" i="3"/>
  <c r="J69" i="3"/>
  <c r="J26" i="3"/>
  <c r="J32" i="3"/>
  <c r="J56" i="3"/>
  <c r="J14" i="3"/>
  <c r="J29" i="3"/>
  <c r="J48" i="3"/>
  <c r="J63" i="3"/>
  <c r="J44" i="3"/>
  <c r="J24" i="3"/>
  <c r="J18" i="3"/>
  <c r="J25" i="3"/>
  <c r="J46" i="4"/>
  <c r="J30" i="3"/>
  <c r="J19" i="3"/>
  <c r="J52" i="3"/>
  <c r="J42" i="3"/>
  <c r="O65" i="3"/>
  <c r="O70" i="2"/>
  <c r="O30" i="4"/>
  <c r="O73" i="3"/>
  <c r="O78" i="3"/>
  <c r="O66" i="3"/>
  <c r="O42" i="4"/>
  <c r="O7" i="4"/>
  <c r="O69" i="3"/>
  <c r="O24" i="4"/>
  <c r="O38" i="3"/>
  <c r="O46" i="4"/>
  <c r="O18" i="4"/>
  <c r="O8" i="3"/>
  <c r="O17" i="3"/>
  <c r="O12" i="4"/>
  <c r="O72" i="2"/>
  <c r="O72" i="3"/>
  <c r="O13" i="3"/>
  <c r="O68" i="3"/>
  <c r="O14" i="4"/>
  <c r="O22" i="4"/>
  <c r="G19" i="3"/>
  <c r="G49" i="3"/>
  <c r="G47" i="3"/>
  <c r="G17" i="3"/>
  <c r="G33" i="4"/>
  <c r="G25" i="3"/>
  <c r="G43" i="3"/>
  <c r="G51" i="3"/>
  <c r="G25" i="4"/>
  <c r="G11" i="3"/>
  <c r="G41" i="3"/>
  <c r="G55" i="3"/>
  <c r="G15" i="3"/>
  <c r="G39" i="3"/>
  <c r="G45" i="3"/>
  <c r="G35" i="3"/>
  <c r="G33" i="3"/>
  <c r="G29" i="3"/>
  <c r="G21" i="3"/>
  <c r="G31" i="3"/>
  <c r="G27" i="3"/>
  <c r="G23" i="3"/>
  <c r="C48" i="4"/>
  <c r="C75" i="3"/>
  <c r="C47" i="3"/>
  <c r="C46" i="4"/>
  <c r="C51" i="3"/>
  <c r="C18" i="4"/>
  <c r="C45" i="3"/>
  <c r="C57" i="3"/>
  <c r="C40" i="4"/>
  <c r="C28" i="4"/>
  <c r="C53" i="3"/>
  <c r="C86" i="3"/>
  <c r="C76" i="3"/>
  <c r="C49" i="3"/>
  <c r="C55" i="3"/>
  <c r="C44" i="4"/>
  <c r="C71" i="3"/>
  <c r="C36" i="4"/>
  <c r="C30" i="4"/>
  <c r="C65" i="3"/>
  <c r="C61" i="4"/>
  <c r="C16" i="4"/>
  <c r="G70" i="3"/>
  <c r="G12" i="3"/>
  <c r="G89" i="3"/>
  <c r="G75" i="3"/>
  <c r="G20" i="3"/>
  <c r="G74" i="3"/>
  <c r="G85" i="3"/>
  <c r="G43" i="4"/>
  <c r="G13" i="3"/>
  <c r="G9" i="4"/>
  <c r="G84" i="3"/>
  <c r="G86" i="3"/>
  <c r="G7" i="3"/>
  <c r="G61" i="3"/>
  <c r="G16" i="4"/>
  <c r="G9" i="3"/>
  <c r="G64" i="3"/>
  <c r="G63" i="3"/>
  <c r="G71" i="2"/>
  <c r="G67" i="3"/>
  <c r="G47" i="4"/>
  <c r="G12" i="4"/>
  <c r="Q10" i="4"/>
  <c r="Q26" i="2"/>
  <c r="Q16" i="2"/>
  <c r="Q46" i="2"/>
  <c r="Q71" i="2"/>
  <c r="Q42" i="2"/>
  <c r="Q30" i="2"/>
  <c r="Q7" i="4"/>
  <c r="Q47" i="2"/>
  <c r="Q35" i="2"/>
  <c r="Q12" i="4"/>
  <c r="Q37" i="2"/>
  <c r="Q25" i="2"/>
  <c r="Q70" i="2"/>
  <c r="Q28" i="2"/>
  <c r="Q29" i="2"/>
  <c r="Q34" i="2"/>
  <c r="Q27" i="2"/>
  <c r="Q72" i="2"/>
  <c r="Q36" i="2"/>
  <c r="Q29" i="4"/>
  <c r="Q31" i="2"/>
  <c r="Q37" i="4"/>
  <c r="D77" i="3"/>
  <c r="D85" i="3"/>
  <c r="D59" i="3"/>
  <c r="D86" i="3"/>
  <c r="D9" i="4"/>
  <c r="D72" i="3"/>
  <c r="D84" i="3"/>
  <c r="D76" i="3"/>
  <c r="D64" i="3"/>
  <c r="D39" i="3"/>
  <c r="D15" i="3"/>
  <c r="D68" i="3"/>
  <c r="D61" i="3"/>
  <c r="D65" i="3"/>
  <c r="D62" i="3"/>
  <c r="D33" i="3"/>
  <c r="D60" i="3"/>
  <c r="D70" i="3"/>
  <c r="D75" i="3"/>
  <c r="D16" i="3"/>
  <c r="D89" i="3"/>
  <c r="D74" i="3"/>
  <c r="I14" i="4"/>
  <c r="I9" i="4"/>
  <c r="I18" i="4"/>
  <c r="I16" i="4"/>
  <c r="I70" i="3"/>
  <c r="I78" i="3"/>
  <c r="I64" i="3"/>
  <c r="I86" i="3"/>
  <c r="I30" i="4"/>
  <c r="I74" i="3"/>
  <c r="I84" i="3"/>
  <c r="I73" i="3"/>
  <c r="I32" i="3"/>
  <c r="I34" i="3"/>
  <c r="I32" i="4"/>
  <c r="I75" i="3"/>
  <c r="I24" i="4"/>
  <c r="I22" i="4"/>
  <c r="I42" i="3"/>
  <c r="I69" i="3"/>
  <c r="I9" i="3"/>
  <c r="I40" i="4"/>
  <c r="I29" i="3"/>
  <c r="I17" i="3"/>
  <c r="I23" i="3"/>
  <c r="I36" i="4"/>
  <c r="I21" i="3"/>
  <c r="I25" i="3"/>
  <c r="I39" i="3"/>
  <c r="I31" i="3"/>
  <c r="I43" i="3"/>
  <c r="I59" i="3"/>
  <c r="I11" i="4"/>
  <c r="I89" i="3"/>
  <c r="I27" i="3"/>
  <c r="I45" i="3"/>
  <c r="I28" i="4"/>
  <c r="I51" i="3"/>
  <c r="I19" i="3"/>
  <c r="I49" i="3"/>
  <c r="I85" i="3"/>
  <c r="I55" i="3"/>
  <c r="I15" i="3"/>
  <c r="I35" i="3"/>
  <c r="M18" i="3"/>
  <c r="M58" i="3"/>
  <c r="M26" i="3"/>
  <c r="M14" i="3"/>
  <c r="M52" i="3"/>
  <c r="M60" i="3"/>
  <c r="M42" i="2"/>
  <c r="M40" i="3"/>
  <c r="M8" i="3"/>
  <c r="M72" i="2"/>
  <c r="M17" i="3"/>
  <c r="M22" i="3"/>
  <c r="M48" i="3"/>
  <c r="M70" i="2"/>
  <c r="M38" i="3"/>
  <c r="M24" i="3"/>
  <c r="M7" i="3"/>
  <c r="M47" i="2"/>
  <c r="M35" i="2"/>
  <c r="M29" i="3"/>
  <c r="M11" i="3"/>
  <c r="M56" i="3"/>
  <c r="M44" i="3"/>
  <c r="O42" i="3"/>
  <c r="O56" i="3"/>
  <c r="O44" i="3"/>
  <c r="O30" i="3"/>
  <c r="O24" i="3"/>
  <c r="O40" i="4"/>
  <c r="O46" i="3"/>
  <c r="O58" i="3"/>
  <c r="O10" i="3"/>
  <c r="O32" i="3"/>
  <c r="O14" i="3"/>
  <c r="O20" i="3"/>
  <c r="O22" i="3"/>
  <c r="O63" i="3"/>
  <c r="O18" i="3"/>
  <c r="O12" i="3"/>
  <c r="O40" i="3"/>
  <c r="O16" i="3"/>
  <c r="O34" i="3"/>
  <c r="O50" i="3"/>
  <c r="O26" i="3"/>
  <c r="O28" i="3"/>
  <c r="E22" i="3"/>
  <c r="E56" i="3"/>
  <c r="E46" i="3"/>
  <c r="E54" i="3"/>
  <c r="E34" i="3"/>
  <c r="E50" i="3"/>
  <c r="E48" i="3"/>
  <c r="E14" i="3"/>
  <c r="E12" i="3"/>
  <c r="E32" i="3"/>
  <c r="E28" i="3"/>
  <c r="E20" i="3"/>
  <c r="E16" i="3"/>
  <c r="E44" i="3"/>
  <c r="E18" i="3"/>
  <c r="E30" i="3"/>
  <c r="E26" i="3"/>
  <c r="E52" i="3"/>
  <c r="E40" i="3"/>
  <c r="E38" i="3"/>
  <c r="E24" i="3"/>
  <c r="E58" i="3"/>
  <c r="E63" i="3"/>
  <c r="E55" i="3"/>
  <c r="E51" i="3"/>
  <c r="E72" i="2"/>
  <c r="E9" i="3"/>
  <c r="E31" i="3"/>
  <c r="E42" i="3"/>
  <c r="E27" i="3"/>
  <c r="E46" i="2"/>
  <c r="E35" i="3"/>
  <c r="E7" i="3"/>
  <c r="E23" i="3"/>
  <c r="E41" i="3"/>
  <c r="E61" i="3"/>
  <c r="E70" i="2"/>
  <c r="E17" i="3"/>
  <c r="E29" i="3"/>
  <c r="E39" i="3"/>
  <c r="E71" i="2"/>
  <c r="E43" i="3"/>
  <c r="E47" i="3"/>
  <c r="E19" i="3"/>
  <c r="J14" i="4"/>
  <c r="J22" i="4"/>
  <c r="J67" i="3"/>
  <c r="J64" i="3"/>
  <c r="J51" i="3"/>
  <c r="J36" i="4"/>
  <c r="J74" i="3"/>
  <c r="J16" i="4"/>
  <c r="J86" i="3"/>
  <c r="J75" i="3"/>
  <c r="J53" i="3"/>
  <c r="J55" i="3"/>
  <c r="J45" i="3"/>
  <c r="J30" i="4"/>
  <c r="J59" i="3"/>
  <c r="J18" i="4"/>
  <c r="J43" i="3"/>
  <c r="J44" i="4"/>
  <c r="J40" i="4"/>
  <c r="J47" i="3"/>
  <c r="J28" i="4"/>
  <c r="J84" i="3"/>
  <c r="K47" i="4"/>
  <c r="K66" i="3"/>
  <c r="K35" i="4"/>
  <c r="K58" i="3"/>
  <c r="K60" i="4"/>
  <c r="K54" i="3"/>
  <c r="K50" i="3"/>
  <c r="K70" i="3"/>
  <c r="K56" i="3"/>
  <c r="K48" i="3"/>
  <c r="K86" i="3"/>
  <c r="K33" i="4"/>
  <c r="K25" i="4"/>
  <c r="K67" i="3"/>
  <c r="K84" i="3"/>
  <c r="K61" i="3"/>
  <c r="K89" i="3"/>
  <c r="K43" i="4"/>
  <c r="K9" i="4"/>
  <c r="K27" i="4"/>
  <c r="K85" i="3"/>
  <c r="K74" i="3"/>
  <c r="O28" i="4"/>
  <c r="O59" i="3"/>
  <c r="O86" i="3"/>
  <c r="O67" i="3"/>
  <c r="O74" i="3"/>
  <c r="O36" i="4"/>
  <c r="O48" i="4"/>
  <c r="O48" i="3"/>
  <c r="O70" i="3"/>
  <c r="O9" i="4"/>
  <c r="O89" i="3"/>
  <c r="O54" i="3"/>
  <c r="O64" i="3"/>
  <c r="O84" i="3"/>
  <c r="O16" i="4"/>
  <c r="O61" i="3"/>
  <c r="O44" i="4"/>
  <c r="O85" i="3"/>
  <c r="O75" i="3"/>
  <c r="O11" i="4"/>
  <c r="O52" i="3"/>
  <c r="O13" i="4"/>
  <c r="T16" i="2"/>
  <c r="T71" i="2"/>
  <c r="T47" i="2"/>
  <c r="T35" i="2"/>
  <c r="T56" i="3"/>
  <c r="T30" i="2"/>
  <c r="T42" i="2"/>
  <c r="T37" i="2"/>
  <c r="T46" i="3"/>
  <c r="T7" i="4"/>
  <c r="T72" i="2"/>
  <c r="T26" i="3"/>
  <c r="T27" i="2"/>
  <c r="T28" i="2"/>
  <c r="T46" i="2"/>
  <c r="T29" i="2"/>
  <c r="T41" i="2"/>
  <c r="T26" i="2"/>
  <c r="T25" i="2"/>
  <c r="T9" i="4"/>
  <c r="T70" i="2"/>
  <c r="T31" i="2"/>
  <c r="T36" i="2"/>
  <c r="W31" i="4"/>
  <c r="W49" i="4"/>
  <c r="W11" i="4"/>
  <c r="W13" i="4"/>
  <c r="W27" i="4"/>
  <c r="W35" i="4"/>
  <c r="W10" i="4"/>
  <c r="W33" i="4"/>
  <c r="W21" i="4"/>
  <c r="W25" i="4"/>
  <c r="W43" i="4"/>
  <c r="W46" i="3"/>
  <c r="W8" i="4"/>
  <c r="W26" i="3"/>
  <c r="W9" i="4"/>
  <c r="W14" i="4"/>
  <c r="W47" i="4"/>
  <c r="W12" i="4"/>
  <c r="W56" i="3"/>
  <c r="W41" i="4"/>
  <c r="W23" i="4"/>
  <c r="W7" i="4"/>
  <c r="O49" i="3"/>
  <c r="O47" i="3"/>
  <c r="O50" i="4"/>
  <c r="O25" i="3"/>
  <c r="O31" i="3"/>
  <c r="O23" i="3"/>
  <c r="O26" i="4"/>
  <c r="O15" i="4"/>
  <c r="O34" i="4"/>
  <c r="O53" i="3"/>
  <c r="O71" i="3"/>
  <c r="O27" i="3"/>
  <c r="O41" i="3"/>
  <c r="O29" i="3"/>
  <c r="O57" i="3"/>
  <c r="O51" i="3"/>
  <c r="O43" i="3"/>
  <c r="O39" i="3"/>
  <c r="O35" i="3"/>
  <c r="O45" i="3"/>
  <c r="O33" i="3"/>
  <c r="O8" i="4"/>
  <c r="K43" i="2"/>
  <c r="K38" i="2"/>
  <c r="K32" i="2"/>
  <c r="K40" i="2"/>
  <c r="K58" i="4"/>
  <c r="K62" i="4"/>
  <c r="K39" i="2"/>
  <c r="K33" i="2"/>
  <c r="D63" i="3"/>
  <c r="D28" i="3"/>
  <c r="D34" i="3"/>
  <c r="D42" i="3"/>
  <c r="D40" i="3"/>
  <c r="D46" i="3"/>
  <c r="D32" i="3"/>
  <c r="D54" i="3"/>
  <c r="D44" i="3"/>
  <c r="D56" i="3"/>
  <c r="D7" i="4"/>
  <c r="D69" i="3"/>
  <c r="D50" i="3"/>
  <c r="D48" i="3"/>
  <c r="D52" i="3"/>
  <c r="D24" i="3"/>
  <c r="D78" i="3"/>
  <c r="D38" i="3"/>
  <c r="D66" i="3"/>
  <c r="D58" i="3"/>
  <c r="D26" i="3"/>
  <c r="D30" i="3"/>
  <c r="G54" i="3"/>
  <c r="G7" i="4"/>
  <c r="G32" i="3"/>
  <c r="G30" i="3"/>
  <c r="G37" i="4"/>
  <c r="G42" i="3"/>
  <c r="G46" i="3"/>
  <c r="G40" i="3"/>
  <c r="G78" i="3"/>
  <c r="G52" i="3"/>
  <c r="G34" i="3"/>
  <c r="G38" i="3"/>
  <c r="G48" i="3"/>
  <c r="G26" i="3"/>
  <c r="G69" i="3"/>
  <c r="G29" i="4"/>
  <c r="G56" i="3"/>
  <c r="G44" i="3"/>
  <c r="G10" i="4"/>
  <c r="G24" i="3"/>
  <c r="G50" i="3"/>
  <c r="G28" i="3"/>
  <c r="G17" i="4"/>
  <c r="G65" i="3"/>
  <c r="G73" i="3"/>
  <c r="G76" i="3"/>
  <c r="G21" i="4"/>
  <c r="G13" i="4"/>
  <c r="G77" i="3"/>
  <c r="G11" i="4"/>
  <c r="G62" i="3"/>
  <c r="G72" i="3"/>
  <c r="G41" i="4"/>
  <c r="G57" i="3"/>
  <c r="G45" i="4"/>
  <c r="G23" i="4"/>
  <c r="G68" i="3"/>
  <c r="G15" i="4"/>
  <c r="G71" i="3"/>
  <c r="G31" i="4"/>
  <c r="G60" i="3"/>
  <c r="G49" i="4"/>
  <c r="G53" i="3"/>
  <c r="G8" i="4"/>
  <c r="T14" i="4"/>
  <c r="T24" i="4"/>
  <c r="T30" i="4"/>
  <c r="T26" i="4"/>
  <c r="T32" i="4"/>
  <c r="T46" i="4"/>
  <c r="T22" i="4"/>
  <c r="T86" i="3"/>
  <c r="T28" i="4"/>
  <c r="T36" i="4"/>
  <c r="T8" i="4"/>
  <c r="T34" i="4"/>
  <c r="T40" i="4"/>
  <c r="T44" i="4"/>
  <c r="T18" i="4"/>
  <c r="T10" i="4"/>
  <c r="T42" i="4"/>
  <c r="T63" i="4"/>
  <c r="T50" i="4"/>
  <c r="T16" i="4"/>
  <c r="T48" i="4"/>
  <c r="T12" i="4"/>
  <c r="U41" i="2"/>
  <c r="U34" i="2"/>
  <c r="U42" i="2"/>
  <c r="U8" i="4"/>
  <c r="U47" i="2"/>
  <c r="U35" i="2"/>
  <c r="U46" i="3"/>
  <c r="U71" i="2"/>
  <c r="U30" i="2"/>
  <c r="U27" i="2"/>
  <c r="U46" i="2"/>
  <c r="U29" i="2"/>
  <c r="U16" i="2"/>
  <c r="U31" i="2"/>
  <c r="U28" i="2"/>
  <c r="U36" i="2"/>
  <c r="U70" i="2"/>
  <c r="U56" i="3"/>
  <c r="U25" i="2"/>
  <c r="U26" i="3"/>
  <c r="U72" i="2"/>
  <c r="U86" i="3"/>
  <c r="U26" i="2"/>
  <c r="M31" i="3"/>
  <c r="M55" i="3"/>
  <c r="M51" i="3"/>
  <c r="M39" i="3"/>
  <c r="M62" i="3"/>
  <c r="M13" i="3"/>
  <c r="M25" i="3"/>
  <c r="M57" i="3"/>
  <c r="M43" i="3"/>
  <c r="M49" i="3"/>
  <c r="M19" i="3"/>
  <c r="M47" i="3"/>
  <c r="M23" i="3"/>
  <c r="M21" i="3"/>
  <c r="M27" i="3"/>
  <c r="M35" i="3"/>
  <c r="M15" i="3"/>
  <c r="M41" i="3"/>
  <c r="M33" i="3"/>
  <c r="M53" i="3"/>
  <c r="M45" i="3"/>
  <c r="M64" i="3"/>
  <c r="L57" i="3"/>
  <c r="L39" i="3"/>
  <c r="L31" i="3"/>
  <c r="L43" i="3"/>
  <c r="L51" i="3"/>
  <c r="L65" i="3"/>
  <c r="L53" i="3"/>
  <c r="L71" i="3"/>
  <c r="L8" i="4"/>
  <c r="L49" i="3"/>
  <c r="L76" i="3"/>
  <c r="L27" i="3"/>
  <c r="L33" i="3"/>
  <c r="L45" i="3"/>
  <c r="L25" i="3"/>
  <c r="L41" i="3"/>
  <c r="L47" i="3"/>
  <c r="L23" i="3"/>
  <c r="L35" i="3"/>
  <c r="L29" i="3"/>
  <c r="L35" i="4"/>
  <c r="L68" i="3"/>
  <c r="L11" i="4"/>
  <c r="L31" i="4"/>
  <c r="L45" i="4"/>
  <c r="L7" i="4"/>
  <c r="L60" i="4"/>
  <c r="L47" i="4"/>
  <c r="L41" i="4"/>
  <c r="L33" i="4"/>
  <c r="L52" i="4"/>
  <c r="L49" i="4"/>
  <c r="L23" i="4"/>
  <c r="L27" i="4"/>
  <c r="L17" i="4"/>
  <c r="L43" i="4"/>
  <c r="L89" i="3"/>
  <c r="L25" i="4"/>
  <c r="L13" i="4"/>
  <c r="L21" i="4"/>
  <c r="L15" i="4"/>
  <c r="L29" i="4"/>
  <c r="L37" i="4"/>
  <c r="L9" i="4"/>
  <c r="D10" i="4"/>
  <c r="D42" i="4"/>
  <c r="D16" i="4"/>
  <c r="D73" i="3"/>
  <c r="D24" i="4"/>
  <c r="D32" i="4"/>
  <c r="D8" i="4"/>
  <c r="D48" i="4"/>
  <c r="D36" i="4"/>
  <c r="D12" i="4"/>
  <c r="D22" i="4"/>
  <c r="D46" i="4"/>
  <c r="D50" i="4"/>
  <c r="D40" i="4"/>
  <c r="D18" i="4"/>
  <c r="D28" i="4"/>
  <c r="D44" i="4"/>
  <c r="D34" i="4"/>
  <c r="D14" i="4"/>
  <c r="D26" i="4"/>
  <c r="D30" i="4"/>
  <c r="D63" i="4"/>
  <c r="F65" i="3"/>
  <c r="F60" i="3"/>
  <c r="F76" i="3"/>
  <c r="F72" i="3"/>
  <c r="F67" i="3"/>
  <c r="F70" i="3"/>
  <c r="F68" i="3"/>
  <c r="F86" i="3"/>
  <c r="F77" i="3"/>
  <c r="F71" i="3"/>
  <c r="F84" i="3"/>
  <c r="F62" i="3"/>
  <c r="F50" i="3"/>
  <c r="F40" i="3"/>
  <c r="F73" i="3"/>
  <c r="F89" i="3"/>
  <c r="F7" i="4"/>
  <c r="F63" i="3"/>
  <c r="F75" i="3"/>
  <c r="F78" i="3"/>
  <c r="F69" i="3"/>
  <c r="F85" i="3"/>
  <c r="S63" i="4"/>
  <c r="S50" i="4"/>
  <c r="S28" i="4"/>
  <c r="S44" i="4"/>
  <c r="S34" i="4"/>
  <c r="S46" i="4"/>
  <c r="S16" i="4"/>
  <c r="S48" i="4"/>
  <c r="S32" i="4"/>
  <c r="S22" i="4"/>
  <c r="S10" i="4"/>
  <c r="S30" i="4"/>
  <c r="S86" i="3"/>
  <c r="S36" i="4"/>
  <c r="S26" i="4"/>
  <c r="S40" i="4"/>
  <c r="S18" i="4"/>
  <c r="S12" i="4"/>
  <c r="S24" i="4"/>
  <c r="S8" i="4"/>
  <c r="S61" i="4"/>
  <c r="S14" i="4"/>
  <c r="N68" i="3"/>
  <c r="N74" i="3"/>
  <c r="N62" i="3"/>
  <c r="N69" i="3"/>
  <c r="N85" i="3"/>
  <c r="N78" i="3"/>
  <c r="N21" i="4"/>
  <c r="N67" i="3"/>
  <c r="N76" i="3"/>
  <c r="N86" i="3"/>
  <c r="N64" i="3"/>
  <c r="N70" i="3"/>
  <c r="N65" i="3"/>
  <c r="N75" i="3"/>
  <c r="N61" i="3"/>
  <c r="N84" i="3"/>
  <c r="N71" i="3"/>
  <c r="N73" i="3"/>
  <c r="N25" i="4"/>
  <c r="N72" i="3"/>
  <c r="N59" i="3"/>
  <c r="N60" i="3"/>
  <c r="U50" i="4"/>
  <c r="U10" i="4"/>
  <c r="U14" i="4"/>
  <c r="U54" i="4"/>
  <c r="U28" i="4"/>
  <c r="U42" i="4"/>
  <c r="U16" i="4"/>
  <c r="U40" i="4"/>
  <c r="U22" i="4"/>
  <c r="U63" i="4"/>
  <c r="U24" i="4"/>
  <c r="U34" i="4"/>
  <c r="U26" i="4"/>
  <c r="U32" i="4"/>
  <c r="U44" i="4"/>
  <c r="U30" i="4"/>
  <c r="U18" i="4"/>
  <c r="U48" i="4"/>
  <c r="U12" i="4"/>
  <c r="U61" i="4"/>
  <c r="U46" i="4"/>
  <c r="U36" i="4"/>
  <c r="F8" i="4"/>
  <c r="F34" i="4"/>
  <c r="F16" i="4"/>
  <c r="F48" i="4"/>
  <c r="F30" i="4"/>
  <c r="F10" i="4"/>
  <c r="F50" i="4"/>
  <c r="F14" i="4"/>
  <c r="F24" i="4"/>
  <c r="F28" i="4"/>
  <c r="F54" i="4"/>
  <c r="F18" i="4"/>
  <c r="F44" i="4"/>
  <c r="F22" i="4"/>
  <c r="F36" i="4"/>
  <c r="F26" i="4"/>
  <c r="F42" i="4"/>
  <c r="F46" i="4"/>
  <c r="F40" i="4"/>
  <c r="F12" i="4"/>
  <c r="F32" i="4"/>
  <c r="F63" i="4"/>
  <c r="M72" i="3"/>
  <c r="M23" i="4"/>
  <c r="M13" i="4"/>
  <c r="M15" i="4"/>
  <c r="M85" i="3"/>
  <c r="M66" i="3"/>
  <c r="M25" i="4"/>
  <c r="M33" i="4"/>
  <c r="M17" i="4"/>
  <c r="M43" i="4"/>
  <c r="M76" i="3"/>
  <c r="M74" i="3"/>
  <c r="M68" i="3"/>
  <c r="M70" i="3"/>
  <c r="M9" i="4"/>
  <c r="M7" i="4"/>
  <c r="M11" i="4"/>
  <c r="M31" i="4"/>
  <c r="M78" i="3"/>
  <c r="M27" i="4"/>
  <c r="M21" i="4"/>
  <c r="M89" i="3"/>
  <c r="V71" i="2"/>
  <c r="V31" i="2"/>
  <c r="V30" i="2"/>
  <c r="V16" i="2"/>
  <c r="V37" i="2"/>
  <c r="V8" i="4"/>
  <c r="V36" i="2"/>
  <c r="V26" i="2"/>
  <c r="V70" i="2"/>
  <c r="V46" i="2"/>
  <c r="V42" i="2"/>
  <c r="V56" i="3"/>
  <c r="V46" i="3"/>
  <c r="V72" i="2"/>
  <c r="V41" i="2"/>
  <c r="V29" i="2"/>
  <c r="V25" i="2"/>
  <c r="V28" i="2"/>
  <c r="V7" i="4"/>
  <c r="V27" i="2"/>
  <c r="V47" i="2"/>
  <c r="V35" i="2"/>
  <c r="V26" i="3"/>
  <c r="E22" i="4"/>
  <c r="E67" i="3"/>
  <c r="E77" i="3"/>
  <c r="E8" i="4"/>
  <c r="E65" i="3"/>
  <c r="E16" i="4"/>
  <c r="E69" i="3"/>
  <c r="E73" i="3"/>
  <c r="E71" i="3"/>
  <c r="E10" i="4"/>
  <c r="E32" i="4"/>
  <c r="E75" i="3"/>
  <c r="E26" i="4"/>
  <c r="E84" i="3"/>
  <c r="E24" i="4"/>
  <c r="E86" i="3"/>
  <c r="E28" i="4"/>
  <c r="E14" i="4"/>
  <c r="E18" i="4"/>
  <c r="E30" i="4"/>
  <c r="E12" i="4"/>
  <c r="E36" i="4"/>
  <c r="L58" i="4"/>
  <c r="L43" i="2"/>
  <c r="L38" i="2"/>
  <c r="L40" i="2"/>
  <c r="L33" i="2"/>
  <c r="L62" i="4"/>
  <c r="L39" i="2"/>
  <c r="L32" i="2"/>
  <c r="M43" i="2"/>
  <c r="M32" i="2"/>
  <c r="M33" i="2"/>
  <c r="M40" i="2"/>
  <c r="M39" i="2"/>
  <c r="M58" i="4"/>
  <c r="M62" i="4"/>
  <c r="M38" i="2"/>
  <c r="Q14" i="4"/>
  <c r="Q8" i="4"/>
  <c r="Q33" i="4"/>
  <c r="Q31" i="4"/>
  <c r="Q11" i="4"/>
  <c r="Q35" i="4"/>
  <c r="Q26" i="3"/>
  <c r="Q23" i="4"/>
  <c r="Q13" i="4"/>
  <c r="Q21" i="4"/>
  <c r="Q46" i="3"/>
  <c r="Q18" i="4"/>
  <c r="Q15" i="4"/>
  <c r="Q41" i="4"/>
  <c r="Q56" i="3"/>
  <c r="Q86" i="3"/>
  <c r="Q25" i="4"/>
  <c r="Q9" i="4"/>
  <c r="Q16" i="4"/>
  <c r="Q27" i="4"/>
  <c r="Q17" i="4"/>
  <c r="Q22" i="4"/>
  <c r="X44" i="4"/>
  <c r="X8" i="4"/>
  <c r="X32" i="4"/>
  <c r="X63" i="4"/>
  <c r="X42" i="4"/>
  <c r="X14" i="4"/>
  <c r="X54" i="4"/>
  <c r="X30" i="4"/>
  <c r="X22" i="4"/>
  <c r="X10" i="4"/>
  <c r="X26" i="4"/>
  <c r="X61" i="4"/>
  <c r="X46" i="4"/>
  <c r="X34" i="4"/>
  <c r="X36" i="4"/>
  <c r="X48" i="4"/>
  <c r="X12" i="4"/>
  <c r="X28" i="4"/>
  <c r="X16" i="4"/>
  <c r="X40" i="4"/>
  <c r="X50" i="4"/>
  <c r="X24" i="4"/>
  <c r="V36" i="4"/>
  <c r="V54" i="4"/>
  <c r="V18" i="4"/>
  <c r="V50" i="4"/>
  <c r="V86" i="3"/>
  <c r="V48" i="4"/>
  <c r="V14" i="4"/>
  <c r="V40" i="4"/>
  <c r="V44" i="4"/>
  <c r="V28" i="4"/>
  <c r="V34" i="4"/>
  <c r="V12" i="4"/>
  <c r="V46" i="4"/>
  <c r="V24" i="4"/>
  <c r="V61" i="4"/>
  <c r="V16" i="4"/>
  <c r="V10" i="4"/>
  <c r="V26" i="4"/>
  <c r="V22" i="4"/>
  <c r="V30" i="4"/>
  <c r="V42" i="4"/>
  <c r="V32" i="4"/>
  <c r="H61" i="4"/>
  <c r="H26" i="4"/>
  <c r="H18" i="4"/>
  <c r="H54" i="4"/>
  <c r="H36" i="4"/>
  <c r="H50" i="4"/>
  <c r="H22" i="4"/>
  <c r="H44" i="4"/>
  <c r="H42" i="4"/>
  <c r="H63" i="4"/>
  <c r="H46" i="4"/>
  <c r="H24" i="4"/>
  <c r="H10" i="4"/>
  <c r="H14" i="4"/>
  <c r="H30" i="4"/>
  <c r="H28" i="4"/>
  <c r="H12" i="4"/>
  <c r="H48" i="4"/>
  <c r="H40" i="4"/>
  <c r="H8" i="4"/>
  <c r="H34" i="4"/>
  <c r="H32" i="4"/>
  <c r="H69" i="3"/>
  <c r="H84" i="3"/>
  <c r="H65" i="3"/>
  <c r="H59" i="3"/>
  <c r="H70" i="3"/>
  <c r="H77" i="3"/>
  <c r="H72" i="3"/>
  <c r="H57" i="3"/>
  <c r="H76" i="3"/>
  <c r="H85" i="3"/>
  <c r="H74" i="3"/>
  <c r="H67" i="3"/>
  <c r="H16" i="4"/>
  <c r="H60" i="3"/>
  <c r="H78" i="3"/>
  <c r="H89" i="3"/>
  <c r="H75" i="3"/>
  <c r="H73" i="3"/>
  <c r="H71" i="3"/>
  <c r="H86" i="3"/>
  <c r="H68" i="3"/>
  <c r="H62" i="3"/>
  <c r="P49" i="3"/>
  <c r="P66" i="3"/>
  <c r="P74" i="3"/>
  <c r="P78" i="3"/>
  <c r="P67" i="3"/>
  <c r="P75" i="3"/>
  <c r="P86" i="3"/>
  <c r="P7" i="4"/>
  <c r="P71" i="3"/>
  <c r="P56" i="3"/>
  <c r="P63" i="3"/>
  <c r="P73" i="3"/>
  <c r="P53" i="3"/>
  <c r="P61" i="3"/>
  <c r="P58" i="3"/>
  <c r="P57" i="3"/>
  <c r="P85" i="3"/>
  <c r="P84" i="3"/>
  <c r="P89" i="3"/>
  <c r="P77" i="3"/>
  <c r="P64" i="3"/>
  <c r="P70" i="3"/>
  <c r="N33" i="2"/>
  <c r="N38" i="2"/>
  <c r="N62" i="4"/>
  <c r="N40" i="2"/>
  <c r="N58" i="4"/>
  <c r="N43" i="2"/>
  <c r="N32" i="2"/>
  <c r="N39" i="2"/>
  <c r="Q62" i="4"/>
  <c r="Q38" i="2"/>
  <c r="Q40" i="2"/>
  <c r="Q32" i="2"/>
  <c r="Q39" i="2"/>
  <c r="Q43" i="2"/>
  <c r="Q33" i="2"/>
  <c r="Q58" i="4"/>
  <c r="I62" i="3"/>
  <c r="I41" i="3"/>
  <c r="I7" i="4"/>
  <c r="I72" i="3"/>
  <c r="I71" i="3"/>
  <c r="I15" i="4"/>
  <c r="I34" i="4"/>
  <c r="I57" i="3"/>
  <c r="I68" i="3"/>
  <c r="I65" i="3"/>
  <c r="I17" i="4"/>
  <c r="I77" i="3"/>
  <c r="I8" i="4"/>
  <c r="I21" i="4"/>
  <c r="I10" i="4"/>
  <c r="I42" i="4"/>
  <c r="I76" i="3"/>
  <c r="I13" i="4"/>
  <c r="I33" i="3"/>
  <c r="I47" i="3"/>
  <c r="I26" i="4"/>
  <c r="I53" i="3"/>
  <c r="X46" i="3"/>
  <c r="X41" i="2"/>
  <c r="X26" i="2"/>
  <c r="X37" i="2"/>
  <c r="X42" i="2"/>
  <c r="X70" i="2"/>
  <c r="X34" i="2"/>
  <c r="X25" i="2"/>
  <c r="X86" i="3"/>
  <c r="X71" i="2"/>
  <c r="X56" i="3"/>
  <c r="X36" i="2"/>
  <c r="X16" i="2"/>
  <c r="X28" i="2"/>
  <c r="X18" i="4"/>
  <c r="X47" i="2"/>
  <c r="X35" i="2"/>
  <c r="X27" i="2"/>
  <c r="X31" i="2"/>
  <c r="X29" i="2"/>
  <c r="X30" i="2"/>
  <c r="X72" i="2"/>
  <c r="X46" i="2"/>
  <c r="C63" i="3"/>
  <c r="C63" i="4"/>
  <c r="C21" i="4"/>
  <c r="C74" i="3"/>
  <c r="C32" i="4"/>
  <c r="C10" i="4"/>
  <c r="C73" i="3"/>
  <c r="C34" i="4"/>
  <c r="C66" i="3"/>
  <c r="C26" i="4"/>
  <c r="C69" i="3"/>
  <c r="C50" i="4"/>
  <c r="C77" i="3"/>
  <c r="C12" i="4"/>
  <c r="C42" i="4"/>
  <c r="C72" i="3"/>
  <c r="C8" i="4"/>
  <c r="C58" i="3"/>
  <c r="C24" i="4"/>
  <c r="C61" i="3"/>
  <c r="C78" i="3"/>
  <c r="C60" i="3"/>
  <c r="Y18" i="4"/>
  <c r="Y30" i="4"/>
  <c r="Y16" i="4"/>
  <c r="Y48" i="4"/>
  <c r="Y21" i="4"/>
  <c r="Y7" i="4"/>
  <c r="Y34" i="4"/>
  <c r="Y22" i="4"/>
  <c r="Y32" i="4"/>
  <c r="Y28" i="4"/>
  <c r="Y36" i="4"/>
  <c r="Y11" i="4"/>
  <c r="Y9" i="4"/>
  <c r="Y13" i="4"/>
  <c r="Y10" i="4"/>
  <c r="Y24" i="4"/>
  <c r="Y26" i="4"/>
  <c r="Y17" i="4"/>
  <c r="Y40" i="4"/>
  <c r="Y14" i="4"/>
  <c r="Y56" i="3"/>
  <c r="Y12" i="4"/>
  <c r="O38" i="2"/>
  <c r="O58" i="4"/>
  <c r="O33" i="2"/>
  <c r="O39" i="2"/>
  <c r="O43" i="2"/>
  <c r="O32" i="2"/>
  <c r="O62" i="4"/>
  <c r="O40" i="2"/>
  <c r="Z16" i="4"/>
  <c r="Z46" i="4"/>
  <c r="Z54" i="4"/>
  <c r="Z12" i="4"/>
  <c r="Z32" i="4"/>
  <c r="Z36" i="4"/>
  <c r="Z42" i="4"/>
  <c r="Z61" i="4"/>
  <c r="Z46" i="3"/>
  <c r="Z44" i="4"/>
  <c r="Z63" i="4"/>
  <c r="Z30" i="4"/>
  <c r="Z10" i="4"/>
  <c r="Z26" i="3"/>
  <c r="Z14" i="4"/>
  <c r="Z24" i="4"/>
  <c r="Z22" i="4"/>
  <c r="Z18" i="4"/>
  <c r="Z40" i="4"/>
  <c r="Z28" i="4"/>
  <c r="Z50" i="4"/>
  <c r="Z48" i="4"/>
  <c r="K57" i="2"/>
  <c r="K64" i="4"/>
  <c r="K92" i="3"/>
  <c r="K91" i="3"/>
  <c r="K88" i="3"/>
  <c r="K69" i="2"/>
  <c r="K49" i="2"/>
  <c r="K52" i="2"/>
  <c r="K90" i="3"/>
  <c r="K65" i="4"/>
  <c r="K94" i="3"/>
  <c r="K56" i="2"/>
  <c r="K82" i="3"/>
  <c r="K51" i="2"/>
  <c r="K54" i="2"/>
  <c r="K87" i="3"/>
  <c r="K83" i="3"/>
  <c r="P43" i="2"/>
  <c r="P33" i="2"/>
  <c r="P39" i="2"/>
  <c r="P40" i="2"/>
  <c r="P62" i="4"/>
  <c r="P32" i="2"/>
  <c r="P38" i="2"/>
  <c r="P58" i="4"/>
  <c r="L82" i="3"/>
  <c r="L65" i="4"/>
  <c r="L83" i="3"/>
  <c r="L56" i="2"/>
  <c r="L54" i="2"/>
  <c r="L52" i="2"/>
  <c r="L64" i="4"/>
  <c r="L94" i="3"/>
  <c r="L57" i="2"/>
  <c r="L51" i="2"/>
  <c r="L49" i="2"/>
  <c r="L87" i="3"/>
  <c r="L69" i="2"/>
  <c r="L91" i="3"/>
  <c r="L90" i="3"/>
  <c r="L88" i="3"/>
  <c r="L92" i="3"/>
  <c r="K68" i="3"/>
  <c r="K64" i="3"/>
  <c r="K62" i="3"/>
  <c r="K13" i="4"/>
  <c r="K77" i="3"/>
  <c r="K11" i="4"/>
  <c r="K72" i="3"/>
  <c r="K71" i="3"/>
  <c r="K10" i="4"/>
  <c r="K23" i="4"/>
  <c r="K45" i="4"/>
  <c r="K49" i="4"/>
  <c r="K59" i="3"/>
  <c r="K21" i="4"/>
  <c r="K17" i="4"/>
  <c r="K76" i="3"/>
  <c r="K37" i="4"/>
  <c r="K15" i="4"/>
  <c r="K31" i="4"/>
  <c r="K75" i="3"/>
  <c r="K29" i="4"/>
  <c r="K41" i="4"/>
  <c r="R33" i="2"/>
  <c r="R40" i="2"/>
  <c r="R43" i="2"/>
  <c r="R58" i="4"/>
  <c r="R38" i="2"/>
  <c r="R32" i="2"/>
  <c r="R62" i="4"/>
  <c r="R39" i="2"/>
  <c r="C82" i="3"/>
  <c r="C94" i="3"/>
  <c r="C56" i="2"/>
  <c r="C52" i="2"/>
  <c r="C83" i="3"/>
  <c r="C64" i="4"/>
  <c r="C87" i="3"/>
  <c r="C57" i="2"/>
  <c r="C91" i="3"/>
  <c r="C54" i="2"/>
  <c r="C88" i="3"/>
  <c r="C49" i="2"/>
  <c r="C65" i="4"/>
  <c r="C69" i="2"/>
  <c r="C90" i="3"/>
  <c r="C51" i="2"/>
  <c r="C92" i="3"/>
  <c r="C17" i="4"/>
  <c r="C11" i="4"/>
  <c r="C7" i="4"/>
  <c r="C9" i="4"/>
  <c r="C31" i="4"/>
  <c r="C33" i="4"/>
  <c r="C49" i="4"/>
  <c r="C29" i="4"/>
  <c r="C41" i="4"/>
  <c r="C25" i="4"/>
  <c r="C35" i="4"/>
  <c r="C60" i="4"/>
  <c r="C15" i="4"/>
  <c r="C47" i="4"/>
  <c r="C27" i="4"/>
  <c r="C13" i="4"/>
  <c r="C45" i="4"/>
  <c r="C52" i="4"/>
  <c r="C23" i="4"/>
  <c r="C37" i="4"/>
  <c r="C89" i="3"/>
  <c r="C43" i="4"/>
  <c r="C93" i="3"/>
  <c r="C55" i="2"/>
  <c r="C59" i="4"/>
  <c r="C66" i="4"/>
  <c r="C50" i="2"/>
  <c r="S45" i="4"/>
  <c r="S37" i="4"/>
  <c r="S7" i="4"/>
  <c r="S41" i="4"/>
  <c r="S43" i="4"/>
  <c r="S49" i="4"/>
  <c r="S25" i="4"/>
  <c r="S15" i="4"/>
  <c r="S47" i="4"/>
  <c r="S17" i="4"/>
  <c r="S33" i="4"/>
  <c r="S13" i="4"/>
  <c r="S9" i="4"/>
  <c r="S11" i="4"/>
  <c r="S35" i="4"/>
  <c r="S23" i="4"/>
  <c r="S21" i="4"/>
  <c r="S31" i="4"/>
  <c r="S27" i="4"/>
  <c r="S60" i="4"/>
  <c r="S52" i="4"/>
  <c r="S29" i="4"/>
  <c r="T51" i="2"/>
  <c r="T52" i="2"/>
  <c r="T49" i="2"/>
  <c r="T87" i="3"/>
  <c r="T54" i="2"/>
  <c r="T64" i="4"/>
  <c r="T57" i="2"/>
  <c r="T56" i="2"/>
  <c r="T65" i="4"/>
  <c r="T69" i="2"/>
  <c r="S50" i="2"/>
  <c r="S55" i="2"/>
  <c r="S59" i="4"/>
  <c r="S66" i="4"/>
  <c r="K93" i="3"/>
  <c r="K66" i="4"/>
  <c r="K50" i="2"/>
  <c r="K55" i="2"/>
  <c r="K59" i="4"/>
  <c r="L42" i="4"/>
  <c r="L24" i="4"/>
  <c r="L18" i="4"/>
  <c r="L22" i="4"/>
  <c r="L63" i="4"/>
  <c r="L14" i="4"/>
  <c r="L50" i="4"/>
  <c r="L36" i="4"/>
  <c r="L10" i="4"/>
  <c r="L12" i="4"/>
  <c r="L46" i="4"/>
  <c r="L26" i="4"/>
  <c r="L48" i="4"/>
  <c r="L44" i="4"/>
  <c r="L61" i="4"/>
  <c r="L30" i="4"/>
  <c r="L32" i="4"/>
  <c r="L16" i="4"/>
  <c r="L54" i="4"/>
  <c r="L40" i="4"/>
  <c r="L34" i="4"/>
  <c r="L28" i="4"/>
  <c r="K32" i="4"/>
  <c r="K8" i="4"/>
  <c r="K14" i="4"/>
  <c r="K46" i="4"/>
  <c r="K28" i="4"/>
  <c r="K50" i="4"/>
  <c r="K30" i="4"/>
  <c r="K12" i="4"/>
  <c r="K18" i="4"/>
  <c r="K63" i="4"/>
  <c r="K40" i="4"/>
  <c r="K22" i="4"/>
  <c r="K44" i="4"/>
  <c r="K24" i="4"/>
  <c r="K16" i="4"/>
  <c r="K34" i="4"/>
  <c r="K36" i="4"/>
  <c r="K26" i="4"/>
  <c r="K54" i="4"/>
  <c r="K61" i="4"/>
  <c r="K42" i="4"/>
  <c r="K48" i="4"/>
  <c r="E38" i="2"/>
  <c r="E33" i="2"/>
  <c r="E39" i="2"/>
  <c r="E58" i="4"/>
  <c r="E32" i="2"/>
  <c r="E62" i="4"/>
  <c r="E43" i="2"/>
  <c r="E40" i="2"/>
  <c r="S58" i="4"/>
  <c r="S39" i="2"/>
  <c r="S43" i="2"/>
  <c r="S40" i="2"/>
  <c r="S33" i="2"/>
  <c r="S62" i="4"/>
  <c r="S38" i="2"/>
  <c r="S32" i="2"/>
  <c r="M35" i="4"/>
  <c r="M61" i="3"/>
  <c r="M41" i="4"/>
  <c r="M59" i="3"/>
  <c r="M65" i="3"/>
  <c r="M63" i="3"/>
  <c r="M71" i="3"/>
  <c r="M12" i="4"/>
  <c r="M75" i="3"/>
  <c r="M86" i="3"/>
  <c r="M60" i="4"/>
  <c r="M52" i="4"/>
  <c r="M84" i="3"/>
  <c r="M49" i="4"/>
  <c r="M67" i="3"/>
  <c r="M73" i="3"/>
  <c r="M29" i="4"/>
  <c r="M69" i="3"/>
  <c r="M77" i="3"/>
  <c r="M45" i="4"/>
  <c r="M37" i="4"/>
  <c r="M47" i="4"/>
  <c r="D54" i="2"/>
  <c r="D88" i="3"/>
  <c r="D56" i="2"/>
  <c r="D69" i="2"/>
  <c r="D87" i="3"/>
  <c r="D91" i="3"/>
  <c r="D92" i="3"/>
  <c r="D51" i="2"/>
  <c r="D82" i="3"/>
  <c r="D65" i="4"/>
  <c r="D52" i="2"/>
  <c r="D83" i="3"/>
  <c r="D57" i="2"/>
  <c r="D64" i="4"/>
  <c r="D94" i="3"/>
  <c r="D90" i="3"/>
  <c r="D49" i="2"/>
  <c r="D55" i="2"/>
  <c r="D59" i="4"/>
  <c r="D93" i="3"/>
  <c r="D50" i="2"/>
  <c r="D66" i="4"/>
  <c r="C58" i="4"/>
  <c r="C38" i="2"/>
  <c r="C32" i="2"/>
  <c r="C62" i="4"/>
  <c r="C33" i="2"/>
  <c r="C43" i="2"/>
  <c r="C40" i="2"/>
  <c r="C39" i="2"/>
  <c r="S87" i="3"/>
  <c r="S54" i="2"/>
  <c r="S64" i="4"/>
  <c r="S51" i="2"/>
  <c r="S52" i="2"/>
  <c r="S49" i="2"/>
  <c r="S65" i="4"/>
  <c r="S69" i="2"/>
  <c r="S57" i="2"/>
  <c r="S56" i="2"/>
  <c r="T47" i="4"/>
  <c r="T23" i="4"/>
  <c r="T35" i="4"/>
  <c r="T45" i="4"/>
  <c r="T49" i="4"/>
  <c r="T33" i="4"/>
  <c r="T17" i="4"/>
  <c r="T61" i="4"/>
  <c r="T25" i="4"/>
  <c r="T31" i="4"/>
  <c r="T21" i="4"/>
  <c r="T29" i="4"/>
  <c r="T60" i="4"/>
  <c r="T15" i="4"/>
  <c r="T37" i="4"/>
  <c r="T52" i="4"/>
  <c r="T13" i="4"/>
  <c r="T54" i="4"/>
  <c r="T43" i="4"/>
  <c r="T11" i="4"/>
  <c r="T41" i="4"/>
  <c r="T27" i="4"/>
  <c r="D23" i="4"/>
  <c r="D13" i="4"/>
  <c r="D41" i="4"/>
  <c r="D11" i="4"/>
  <c r="D21" i="4"/>
  <c r="D15" i="4"/>
  <c r="D31" i="4"/>
  <c r="D47" i="4"/>
  <c r="D43" i="4"/>
  <c r="D29" i="4"/>
  <c r="D45" i="4"/>
  <c r="D49" i="4"/>
  <c r="D35" i="4"/>
  <c r="D33" i="4"/>
  <c r="D17" i="4"/>
  <c r="D27" i="4"/>
  <c r="D37" i="4"/>
  <c r="D61" i="4"/>
  <c r="D54" i="4"/>
  <c r="D60" i="4"/>
  <c r="D52" i="4"/>
  <c r="D25" i="4"/>
  <c r="U21" i="4"/>
  <c r="U27" i="4"/>
  <c r="U15" i="4"/>
  <c r="U41" i="4"/>
  <c r="U17" i="4"/>
  <c r="U7" i="4"/>
  <c r="U37" i="4"/>
  <c r="U33" i="4"/>
  <c r="U25" i="4"/>
  <c r="U43" i="4"/>
  <c r="U45" i="4"/>
  <c r="U49" i="4"/>
  <c r="U31" i="4"/>
  <c r="U60" i="4"/>
  <c r="U29" i="4"/>
  <c r="U47" i="4"/>
  <c r="U35" i="4"/>
  <c r="U11" i="4"/>
  <c r="U52" i="4"/>
  <c r="U13" i="4"/>
  <c r="U23" i="4"/>
  <c r="U9" i="4"/>
  <c r="E64" i="3"/>
  <c r="E50" i="4"/>
  <c r="E66" i="3"/>
  <c r="E76" i="3"/>
  <c r="E46" i="4"/>
  <c r="E44" i="4"/>
  <c r="E68" i="3"/>
  <c r="E74" i="3"/>
  <c r="E60" i="3"/>
  <c r="E85" i="3"/>
  <c r="E54" i="4"/>
  <c r="E42" i="4"/>
  <c r="E61" i="4"/>
  <c r="E48" i="4"/>
  <c r="E89" i="3"/>
  <c r="E40" i="4"/>
  <c r="E70" i="3"/>
  <c r="E78" i="3"/>
  <c r="E62" i="3"/>
  <c r="E72" i="3"/>
  <c r="E63" i="4"/>
  <c r="E34" i="4"/>
  <c r="M16" i="4"/>
  <c r="M61" i="4"/>
  <c r="M46" i="4"/>
  <c r="M44" i="4"/>
  <c r="M10" i="4"/>
  <c r="M63" i="4"/>
  <c r="M40" i="4"/>
  <c r="M54" i="4"/>
  <c r="M26" i="4"/>
  <c r="M32" i="4"/>
  <c r="M42" i="4"/>
  <c r="M50" i="4"/>
  <c r="M30" i="4"/>
  <c r="M34" i="4"/>
  <c r="M18" i="4"/>
  <c r="M36" i="4"/>
  <c r="M48" i="4"/>
  <c r="M14" i="4"/>
  <c r="M28" i="4"/>
  <c r="M22" i="4"/>
  <c r="M8" i="4"/>
  <c r="M24" i="4"/>
  <c r="L50" i="2"/>
  <c r="L93" i="3"/>
  <c r="L59" i="4"/>
  <c r="L55" i="2"/>
  <c r="L66" i="4"/>
  <c r="D39" i="2"/>
  <c r="D33" i="2"/>
  <c r="D32" i="2"/>
  <c r="D40" i="2"/>
  <c r="D38" i="2"/>
  <c r="D58" i="4"/>
  <c r="D43" i="2"/>
  <c r="D62" i="4"/>
  <c r="N45" i="4"/>
  <c r="N8" i="4"/>
  <c r="N35" i="4"/>
  <c r="N31" i="4"/>
  <c r="N7" i="4"/>
  <c r="N13" i="4"/>
  <c r="N52" i="4"/>
  <c r="N15" i="4"/>
  <c r="N41" i="4"/>
  <c r="N27" i="4"/>
  <c r="N9" i="4"/>
  <c r="N37" i="4"/>
  <c r="N89" i="3"/>
  <c r="N17" i="4"/>
  <c r="N11" i="4"/>
  <c r="N49" i="4"/>
  <c r="N33" i="4"/>
  <c r="N23" i="4"/>
  <c r="N29" i="4"/>
  <c r="N47" i="4"/>
  <c r="N43" i="4"/>
  <c r="N60" i="4"/>
  <c r="E31" i="4"/>
  <c r="E35" i="4"/>
  <c r="E43" i="4"/>
  <c r="E47" i="4"/>
  <c r="E23" i="4"/>
  <c r="E41" i="4"/>
  <c r="E52" i="4"/>
  <c r="E29" i="4"/>
  <c r="E9" i="4"/>
  <c r="E33" i="4"/>
  <c r="E25" i="4"/>
  <c r="E11" i="4"/>
  <c r="E27" i="4"/>
  <c r="E15" i="4"/>
  <c r="E21" i="4"/>
  <c r="E17" i="4"/>
  <c r="E7" i="4"/>
  <c r="E49" i="4"/>
  <c r="E45" i="4"/>
  <c r="E60" i="4"/>
  <c r="E13" i="4"/>
  <c r="E37" i="4"/>
  <c r="T39" i="2"/>
  <c r="T43" i="2"/>
  <c r="T32" i="2"/>
  <c r="T33" i="2"/>
  <c r="T38" i="2"/>
  <c r="T62" i="4"/>
  <c r="T58" i="4"/>
  <c r="T40" i="2"/>
  <c r="T50" i="2"/>
  <c r="T66" i="4"/>
  <c r="T59" i="4"/>
  <c r="T55" i="2"/>
  <c r="U55" i="2"/>
  <c r="U59" i="4"/>
  <c r="U66" i="4"/>
  <c r="U50" i="2"/>
  <c r="U33" i="2"/>
  <c r="U58" i="4"/>
  <c r="U38" i="2"/>
  <c r="U32" i="2"/>
  <c r="U43" i="2"/>
  <c r="U40" i="2"/>
  <c r="U39" i="2"/>
  <c r="U62" i="4"/>
  <c r="E94" i="3"/>
  <c r="E51" i="2"/>
  <c r="E87" i="3"/>
  <c r="E52" i="2"/>
  <c r="E92" i="3"/>
  <c r="E91" i="3"/>
  <c r="E64" i="4"/>
  <c r="E49" i="2"/>
  <c r="E57" i="2"/>
  <c r="E65" i="4"/>
  <c r="E90" i="3"/>
  <c r="E88" i="3"/>
  <c r="E82" i="3"/>
  <c r="E56" i="2"/>
  <c r="E69" i="2"/>
  <c r="E83" i="3"/>
  <c r="E54" i="2"/>
  <c r="M50" i="2"/>
  <c r="M59" i="4"/>
  <c r="M93" i="3"/>
  <c r="M55" i="2"/>
  <c r="M66" i="4"/>
  <c r="I54" i="4"/>
  <c r="I27" i="4"/>
  <c r="I61" i="4"/>
  <c r="I29" i="4"/>
  <c r="I60" i="4"/>
  <c r="I43" i="4"/>
  <c r="I45" i="4"/>
  <c r="I33" i="4"/>
  <c r="I37" i="4"/>
  <c r="I35" i="4"/>
  <c r="I25" i="4"/>
  <c r="I23" i="4"/>
  <c r="I44" i="4"/>
  <c r="I31" i="4"/>
  <c r="I46" i="4"/>
  <c r="I47" i="4"/>
  <c r="I48" i="4"/>
  <c r="I50" i="4"/>
  <c r="I41" i="4"/>
  <c r="I63" i="4"/>
  <c r="I49" i="4"/>
  <c r="I52" i="4"/>
  <c r="M91" i="3"/>
  <c r="M56" i="2"/>
  <c r="M90" i="3"/>
  <c r="M49" i="2"/>
  <c r="M69" i="2"/>
  <c r="M65" i="4"/>
  <c r="M52" i="2"/>
  <c r="M83" i="3"/>
  <c r="M57" i="2"/>
  <c r="M51" i="2"/>
  <c r="M92" i="3"/>
  <c r="M82" i="3"/>
  <c r="M87" i="3"/>
  <c r="M64" i="4"/>
  <c r="M54" i="2"/>
  <c r="M88" i="3"/>
  <c r="M94" i="3"/>
  <c r="W40" i="2"/>
  <c r="W43" i="2"/>
  <c r="W38" i="2"/>
  <c r="W62" i="4"/>
  <c r="W32" i="2"/>
  <c r="W58" i="4"/>
  <c r="W39" i="2"/>
  <c r="W33" i="2"/>
  <c r="E93" i="3"/>
  <c r="E66" i="4"/>
  <c r="E59" i="4"/>
  <c r="E55" i="2"/>
  <c r="E50" i="2"/>
  <c r="V43" i="2"/>
  <c r="V38" i="2"/>
  <c r="V33" i="2"/>
  <c r="V39" i="2"/>
  <c r="V58" i="4"/>
  <c r="V40" i="2"/>
  <c r="V62" i="4"/>
  <c r="V32" i="2"/>
  <c r="F51" i="2"/>
  <c r="F56" i="2"/>
  <c r="F82" i="3"/>
  <c r="F49" i="2"/>
  <c r="F87" i="3"/>
  <c r="F52" i="2"/>
  <c r="F54" i="2"/>
  <c r="F90" i="3"/>
  <c r="F91" i="3"/>
  <c r="F83" i="3"/>
  <c r="F92" i="3"/>
  <c r="F65" i="4"/>
  <c r="F88" i="3"/>
  <c r="F57" i="2"/>
  <c r="F94" i="3"/>
  <c r="F64" i="4"/>
  <c r="F69" i="2"/>
  <c r="U87" i="3"/>
  <c r="U57" i="2"/>
  <c r="U56" i="2"/>
  <c r="U49" i="2"/>
  <c r="U51" i="2"/>
  <c r="U54" i="2"/>
  <c r="U65" i="4"/>
  <c r="U69" i="2"/>
  <c r="U52" i="2"/>
  <c r="U64" i="4"/>
  <c r="F55" i="2"/>
  <c r="F59" i="4"/>
  <c r="F50" i="2"/>
  <c r="F66" i="4"/>
  <c r="F93" i="3"/>
  <c r="V52" i="4"/>
  <c r="V23" i="4"/>
  <c r="V11" i="4"/>
  <c r="V33" i="4"/>
  <c r="V60" i="4"/>
  <c r="V9" i="4"/>
  <c r="V31" i="4"/>
  <c r="V41" i="4"/>
  <c r="V29" i="4"/>
  <c r="V25" i="4"/>
  <c r="V43" i="4"/>
  <c r="V63" i="4"/>
  <c r="V13" i="4"/>
  <c r="V37" i="4"/>
  <c r="V27" i="4"/>
  <c r="V47" i="4"/>
  <c r="V49" i="4"/>
  <c r="V45" i="4"/>
  <c r="V21" i="4"/>
  <c r="V15" i="4"/>
  <c r="V35" i="4"/>
  <c r="V17" i="4"/>
  <c r="W30" i="4"/>
  <c r="W22" i="4"/>
  <c r="W34" i="4"/>
  <c r="W28" i="4"/>
  <c r="W63" i="4"/>
  <c r="W52" i="4"/>
  <c r="W36" i="4"/>
  <c r="W61" i="4"/>
  <c r="W60" i="4"/>
  <c r="W46" i="4"/>
  <c r="W16" i="4"/>
  <c r="W24" i="4"/>
  <c r="W48" i="4"/>
  <c r="W32" i="4"/>
  <c r="W40" i="4"/>
  <c r="W42" i="4"/>
  <c r="W26" i="4"/>
  <c r="W50" i="4"/>
  <c r="W44" i="4"/>
  <c r="W18" i="4"/>
  <c r="W45" i="4"/>
  <c r="W54" i="4"/>
  <c r="N50" i="2"/>
  <c r="N93" i="3"/>
  <c r="N59" i="4"/>
  <c r="N66" i="4"/>
  <c r="N55" i="2"/>
  <c r="O82" i="3"/>
  <c r="O65" i="4"/>
  <c r="O94" i="3"/>
  <c r="O56" i="2"/>
  <c r="O54" i="2"/>
  <c r="O83" i="3"/>
  <c r="O52" i="2"/>
  <c r="O90" i="3"/>
  <c r="O64" i="4"/>
  <c r="O57" i="2"/>
  <c r="O69" i="2"/>
  <c r="O49" i="2"/>
  <c r="O91" i="3"/>
  <c r="O87" i="3"/>
  <c r="O88" i="3"/>
  <c r="O51" i="2"/>
  <c r="O92" i="3"/>
  <c r="F58" i="4"/>
  <c r="F38" i="2"/>
  <c r="F62" i="4"/>
  <c r="F39" i="2"/>
  <c r="F40" i="2"/>
  <c r="F32" i="2"/>
  <c r="V65" i="4"/>
  <c r="F43" i="2"/>
  <c r="V57" i="2"/>
  <c r="F33" i="2"/>
  <c r="V51" i="2"/>
  <c r="V49" i="2"/>
  <c r="V56" i="2"/>
  <c r="V87" i="3"/>
  <c r="V54" i="2"/>
  <c r="V64" i="4"/>
  <c r="V52" i="2"/>
  <c r="V69" i="2"/>
  <c r="G66" i="3"/>
  <c r="G26" i="4"/>
  <c r="G60" i="4"/>
  <c r="G28" i="4"/>
  <c r="G32" i="4"/>
  <c r="G40" i="4"/>
  <c r="G22" i="4"/>
  <c r="G36" i="4"/>
  <c r="G30" i="4"/>
  <c r="G54" i="4"/>
  <c r="G52" i="4"/>
  <c r="G50" i="4"/>
  <c r="G34" i="4"/>
  <c r="G18" i="4"/>
  <c r="G58" i="3"/>
  <c r="G46" i="4"/>
  <c r="G42" i="4"/>
  <c r="G61" i="4"/>
  <c r="G48" i="4"/>
  <c r="G24" i="4"/>
  <c r="G44" i="4"/>
  <c r="G63" i="4"/>
  <c r="V59" i="4"/>
  <c r="V66" i="4"/>
  <c r="V55" i="2"/>
  <c r="V50" i="2"/>
  <c r="P13" i="4"/>
  <c r="P33" i="4"/>
  <c r="P15" i="4"/>
  <c r="P47" i="4"/>
  <c r="P41" i="4"/>
  <c r="P35" i="4"/>
  <c r="P11" i="4"/>
  <c r="P52" i="4"/>
  <c r="P9" i="4"/>
  <c r="P17" i="4"/>
  <c r="P21" i="4"/>
  <c r="P60" i="4"/>
  <c r="P29" i="4"/>
  <c r="P25" i="4"/>
  <c r="P12" i="4"/>
  <c r="P43" i="4"/>
  <c r="P23" i="4"/>
  <c r="P45" i="4"/>
  <c r="P31" i="4"/>
  <c r="P49" i="4"/>
  <c r="P37" i="4"/>
  <c r="P27" i="4"/>
  <c r="N51" i="2"/>
  <c r="N56" i="2"/>
  <c r="N91" i="3"/>
  <c r="N54" i="2"/>
  <c r="N49" i="2"/>
  <c r="N52" i="2"/>
  <c r="N65" i="4"/>
  <c r="N82" i="3"/>
  <c r="N94" i="3"/>
  <c r="N88" i="3"/>
  <c r="N83" i="3"/>
  <c r="N90" i="3"/>
  <c r="N92" i="3"/>
  <c r="N69" i="2"/>
  <c r="N57" i="2"/>
  <c r="N64" i="4"/>
  <c r="N87" i="3"/>
  <c r="O93" i="3"/>
  <c r="O50" i="2"/>
  <c r="O59" i="4"/>
  <c r="O66" i="4"/>
  <c r="O55" i="2"/>
  <c r="Z43" i="2"/>
  <c r="Z62" i="4"/>
  <c r="Z58" i="4"/>
  <c r="Z33" i="2"/>
  <c r="Z40" i="2"/>
  <c r="Z39" i="2"/>
  <c r="Z38" i="2"/>
  <c r="Z32" i="2"/>
  <c r="N42" i="4"/>
  <c r="N50" i="4"/>
  <c r="N16" i="4"/>
  <c r="N18" i="4"/>
  <c r="N24" i="4"/>
  <c r="N12" i="4"/>
  <c r="N14" i="4"/>
  <c r="N32" i="4"/>
  <c r="N44" i="4"/>
  <c r="N30" i="4"/>
  <c r="N54" i="4"/>
  <c r="N36" i="4"/>
  <c r="N63" i="4"/>
  <c r="N22" i="4"/>
  <c r="N61" i="4"/>
  <c r="N26" i="4"/>
  <c r="N40" i="4"/>
  <c r="N46" i="4"/>
  <c r="N10" i="4"/>
  <c r="N34" i="4"/>
  <c r="N28" i="4"/>
  <c r="N48" i="4"/>
  <c r="W59" i="4"/>
  <c r="W50" i="2"/>
  <c r="W55" i="2"/>
  <c r="W66" i="4"/>
  <c r="O63" i="4"/>
  <c r="O54" i="4"/>
  <c r="O52" i="4"/>
  <c r="O33" i="4"/>
  <c r="O27" i="4"/>
  <c r="O41" i="4"/>
  <c r="O55" i="3"/>
  <c r="O25" i="4"/>
  <c r="O23" i="4"/>
  <c r="O35" i="4"/>
  <c r="O21" i="4"/>
  <c r="O31" i="4"/>
  <c r="O17" i="4"/>
  <c r="O61" i="4"/>
  <c r="O60" i="4"/>
  <c r="O47" i="4"/>
  <c r="O76" i="3"/>
  <c r="O43" i="4"/>
  <c r="O29" i="4"/>
  <c r="O49" i="4"/>
  <c r="O37" i="4"/>
  <c r="O45" i="4"/>
  <c r="W87" i="3"/>
  <c r="W52" i="2"/>
  <c r="W54" i="2"/>
  <c r="W57" i="2"/>
  <c r="W64" i="4"/>
  <c r="W69" i="2"/>
  <c r="W65" i="4"/>
  <c r="W51" i="2"/>
  <c r="W56" i="2"/>
  <c r="W49" i="2"/>
  <c r="H41" i="4"/>
  <c r="H7" i="4"/>
  <c r="H52" i="4"/>
  <c r="H27" i="4"/>
  <c r="H25" i="4"/>
  <c r="H37" i="4"/>
  <c r="H13" i="4"/>
  <c r="H23" i="4"/>
  <c r="H31" i="4"/>
  <c r="H17" i="4"/>
  <c r="H29" i="4"/>
  <c r="H43" i="4"/>
  <c r="H47" i="4"/>
  <c r="H11" i="4"/>
  <c r="H15" i="4"/>
  <c r="H49" i="4"/>
  <c r="H33" i="4"/>
  <c r="H35" i="4"/>
  <c r="H60" i="4"/>
  <c r="H45" i="4"/>
  <c r="H9" i="4"/>
  <c r="H21" i="4"/>
  <c r="G51" i="2"/>
  <c r="G69" i="2"/>
  <c r="G54" i="2"/>
  <c r="G87" i="3"/>
  <c r="G52" i="2"/>
  <c r="G57" i="2"/>
  <c r="G82" i="3"/>
  <c r="G56" i="2"/>
  <c r="G91" i="3"/>
  <c r="G65" i="4"/>
  <c r="G88" i="3"/>
  <c r="G83" i="3"/>
  <c r="G49" i="2"/>
  <c r="G90" i="3"/>
  <c r="G92" i="3"/>
  <c r="G64" i="4"/>
  <c r="G94" i="3"/>
  <c r="G40" i="2"/>
  <c r="G33" i="2"/>
  <c r="G32" i="2"/>
  <c r="G58" i="4"/>
  <c r="G38" i="2"/>
  <c r="G39" i="2"/>
  <c r="G43" i="2"/>
  <c r="G62" i="4"/>
  <c r="G50" i="2"/>
  <c r="G66" i="4"/>
  <c r="G93" i="3"/>
  <c r="G59" i="4"/>
  <c r="G55" i="2"/>
  <c r="H58" i="4"/>
  <c r="H39" i="2"/>
  <c r="H62" i="4"/>
  <c r="H40" i="2"/>
  <c r="H38" i="2"/>
  <c r="H32" i="2"/>
  <c r="H33" i="2"/>
  <c r="H43" i="2"/>
  <c r="X62" i="4"/>
  <c r="X33" i="2"/>
  <c r="X32" i="2"/>
  <c r="X43" i="2"/>
  <c r="X39" i="2"/>
  <c r="X38" i="2"/>
  <c r="X58" i="4"/>
  <c r="X40" i="2"/>
  <c r="Y66" i="4"/>
  <c r="Y50" i="2"/>
  <c r="Y59" i="4"/>
  <c r="Y55" i="2"/>
  <c r="J31" i="4"/>
  <c r="J23" i="4"/>
  <c r="J49" i="4"/>
  <c r="J35" i="4"/>
  <c r="J41" i="4"/>
  <c r="J21" i="4"/>
  <c r="J29" i="4"/>
  <c r="J52" i="4"/>
  <c r="J11" i="4"/>
  <c r="J37" i="4"/>
  <c r="J25" i="4"/>
  <c r="J15" i="4"/>
  <c r="J43" i="4"/>
  <c r="J13" i="4"/>
  <c r="J27" i="4"/>
  <c r="J89" i="3"/>
  <c r="J17" i="4"/>
  <c r="J60" i="4"/>
  <c r="J9" i="4"/>
  <c r="J33" i="4"/>
  <c r="J47" i="4"/>
  <c r="J45" i="4"/>
  <c r="H83" i="3"/>
  <c r="H64" i="4"/>
  <c r="H88" i="3"/>
  <c r="H87" i="3"/>
  <c r="H91" i="3"/>
  <c r="H90" i="3"/>
  <c r="H49" i="2"/>
  <c r="H57" i="2"/>
  <c r="H56" i="2"/>
  <c r="H82" i="3"/>
  <c r="H94" i="3"/>
  <c r="H52" i="2"/>
  <c r="H51" i="2"/>
  <c r="H65" i="4"/>
  <c r="H54" i="2"/>
  <c r="H69" i="2"/>
  <c r="H92" i="3"/>
  <c r="Z21" i="4"/>
  <c r="Z15" i="4"/>
  <c r="Z47" i="4"/>
  <c r="Z7" i="4"/>
  <c r="Z45" i="4"/>
  <c r="Z31" i="4"/>
  <c r="Z25" i="4"/>
  <c r="Z13" i="4"/>
  <c r="Z17" i="4"/>
  <c r="Z23" i="4"/>
  <c r="Z43" i="4"/>
  <c r="Z35" i="4"/>
  <c r="Z33" i="4"/>
  <c r="Z52" i="4"/>
  <c r="Z37" i="4"/>
  <c r="Z41" i="4"/>
  <c r="Z27" i="4"/>
  <c r="Z11" i="4"/>
  <c r="Z9" i="4"/>
  <c r="Z49" i="4"/>
  <c r="Z29" i="4"/>
  <c r="Z60" i="4"/>
  <c r="Q28" i="4"/>
  <c r="Q44" i="4"/>
  <c r="Q45" i="4"/>
  <c r="Q32" i="4"/>
  <c r="Q54" i="4"/>
  <c r="Q43" i="4"/>
  <c r="Q48" i="4"/>
  <c r="Q36" i="4"/>
  <c r="Q30" i="4"/>
  <c r="Q63" i="4"/>
  <c r="Q26" i="4"/>
  <c r="Q49" i="4"/>
  <c r="Q60" i="4"/>
  <c r="Q50" i="4"/>
  <c r="Q34" i="4"/>
  <c r="Q46" i="4"/>
  <c r="Q52" i="4"/>
  <c r="Q24" i="4"/>
  <c r="Q42" i="4"/>
  <c r="Q47" i="4"/>
  <c r="Q61" i="4"/>
  <c r="Q40" i="4"/>
  <c r="P48" i="4"/>
  <c r="P50" i="4"/>
  <c r="P34" i="4"/>
  <c r="P44" i="4"/>
  <c r="P24" i="4"/>
  <c r="P22" i="4"/>
  <c r="P10" i="4"/>
  <c r="P61" i="4"/>
  <c r="P8" i="4"/>
  <c r="P14" i="4"/>
  <c r="P54" i="4"/>
  <c r="P30" i="4"/>
  <c r="P28" i="4"/>
  <c r="P26" i="4"/>
  <c r="P16" i="4"/>
  <c r="P46" i="4"/>
  <c r="P32" i="4"/>
  <c r="P36" i="4"/>
  <c r="P42" i="4"/>
  <c r="P63" i="4"/>
  <c r="P18" i="4"/>
  <c r="P40" i="4"/>
  <c r="J92" i="3"/>
  <c r="J57" i="2"/>
  <c r="J94" i="3"/>
  <c r="J90" i="3"/>
  <c r="J65" i="4"/>
  <c r="J69" i="2"/>
  <c r="J52" i="2"/>
  <c r="J88" i="3"/>
  <c r="J54" i="2"/>
  <c r="J87" i="3"/>
  <c r="J56" i="2"/>
  <c r="J83" i="3"/>
  <c r="J82" i="3"/>
  <c r="J91" i="3"/>
  <c r="J49" i="2"/>
  <c r="J51" i="2"/>
  <c r="J64" i="4"/>
  <c r="R18" i="4"/>
  <c r="R32" i="4"/>
  <c r="R36" i="4"/>
  <c r="R16" i="4"/>
  <c r="R61" i="4"/>
  <c r="R30" i="4"/>
  <c r="R14" i="4"/>
  <c r="R40" i="4"/>
  <c r="R42" i="4"/>
  <c r="R22" i="4"/>
  <c r="R46" i="4"/>
  <c r="R24" i="4"/>
  <c r="R10" i="4"/>
  <c r="R44" i="4"/>
  <c r="R26" i="4"/>
  <c r="R12" i="4"/>
  <c r="R28" i="4"/>
  <c r="R50" i="4"/>
  <c r="R34" i="4"/>
  <c r="R63" i="4"/>
  <c r="R54" i="4"/>
  <c r="R48" i="4"/>
  <c r="I87" i="3"/>
  <c r="I91" i="3"/>
  <c r="I82" i="3"/>
  <c r="I69" i="2"/>
  <c r="I92" i="3"/>
  <c r="I90" i="3"/>
  <c r="I54" i="2"/>
  <c r="I56" i="2"/>
  <c r="I52" i="2"/>
  <c r="I57" i="2"/>
  <c r="I88" i="3"/>
  <c r="I83" i="3"/>
  <c r="I65" i="4"/>
  <c r="I94" i="3"/>
  <c r="I49" i="2"/>
  <c r="I64" i="4"/>
  <c r="I51" i="2"/>
  <c r="Y69" i="2"/>
  <c r="Y52" i="2"/>
  <c r="Y65" i="4"/>
  <c r="Y51" i="2"/>
  <c r="Y49" i="2"/>
  <c r="Y87" i="3"/>
  <c r="Y54" i="2"/>
  <c r="Y56" i="2"/>
  <c r="Y64" i="4"/>
  <c r="Y57" i="2"/>
  <c r="Y60" i="4"/>
  <c r="Y45" i="4"/>
  <c r="Y43" i="4"/>
  <c r="Y41" i="4"/>
  <c r="Y52" i="4"/>
  <c r="Y54" i="4"/>
  <c r="Y31" i="4"/>
  <c r="Y49" i="4"/>
  <c r="Y29" i="4"/>
  <c r="Y47" i="4"/>
  <c r="Y44" i="4"/>
  <c r="Y42" i="4"/>
  <c r="Y25" i="4"/>
  <c r="Y23" i="4"/>
  <c r="Y33" i="4"/>
  <c r="Y46" i="4"/>
  <c r="Y50" i="4"/>
  <c r="Y61" i="4"/>
  <c r="Y27" i="4"/>
  <c r="Y35" i="4"/>
  <c r="Y63" i="4"/>
  <c r="Y37" i="4"/>
  <c r="X51" i="2"/>
  <c r="X64" i="4"/>
  <c r="X49" i="2"/>
  <c r="X69" i="2"/>
  <c r="X56" i="2"/>
  <c r="X65" i="4"/>
  <c r="X57" i="2"/>
  <c r="X54" i="2"/>
  <c r="X52" i="2"/>
  <c r="X87" i="3"/>
  <c r="I38" i="2"/>
  <c r="I62" i="4"/>
  <c r="I33" i="2"/>
  <c r="I32" i="2"/>
  <c r="I58" i="4"/>
  <c r="I40" i="2"/>
  <c r="I39" i="2"/>
  <c r="I43" i="2"/>
  <c r="Z65" i="4"/>
  <c r="Z52" i="2"/>
  <c r="Z57" i="2"/>
  <c r="Z87" i="3"/>
  <c r="Z69" i="2"/>
  <c r="Z54" i="2"/>
  <c r="Z64" i="4"/>
  <c r="Z49" i="2"/>
  <c r="Z56" i="2"/>
  <c r="Z51" i="2"/>
  <c r="P93" i="3"/>
  <c r="P55" i="2"/>
  <c r="P59" i="4"/>
  <c r="P50" i="2"/>
  <c r="P66" i="4"/>
  <c r="X66" i="4"/>
  <c r="X55" i="2"/>
  <c r="X59" i="4"/>
  <c r="X50" i="2"/>
  <c r="H55" i="2"/>
  <c r="H66" i="4"/>
  <c r="H59" i="4"/>
  <c r="H50" i="2"/>
  <c r="H93" i="3"/>
  <c r="J7" i="4"/>
  <c r="J68" i="3"/>
  <c r="J62" i="3"/>
  <c r="J77" i="3"/>
  <c r="J50" i="4"/>
  <c r="J54" i="4"/>
  <c r="J48" i="4"/>
  <c r="J72" i="3"/>
  <c r="J26" i="4"/>
  <c r="J49" i="3"/>
  <c r="J8" i="4"/>
  <c r="J78" i="3"/>
  <c r="J60" i="3"/>
  <c r="J71" i="3"/>
  <c r="J63" i="4"/>
  <c r="J42" i="4"/>
  <c r="J34" i="4"/>
  <c r="J76" i="3"/>
  <c r="J65" i="3"/>
  <c r="J85" i="3"/>
  <c r="J61" i="4"/>
  <c r="J57" i="3"/>
  <c r="I66" i="4"/>
  <c r="I50" i="2"/>
  <c r="I55" i="2"/>
  <c r="I59" i="4"/>
  <c r="I93" i="3"/>
  <c r="R27" i="4"/>
  <c r="R56" i="3"/>
  <c r="R43" i="4"/>
  <c r="R46" i="3"/>
  <c r="R11" i="4"/>
  <c r="R86" i="3"/>
  <c r="R21" i="4"/>
  <c r="R31" i="4"/>
  <c r="R13" i="4"/>
  <c r="R60" i="4"/>
  <c r="R52" i="4"/>
  <c r="R7" i="4"/>
  <c r="R25" i="4"/>
  <c r="R45" i="4"/>
  <c r="R33" i="4"/>
  <c r="R8" i="4"/>
  <c r="R35" i="4"/>
  <c r="R49" i="4"/>
  <c r="R41" i="4"/>
  <c r="R23" i="4"/>
  <c r="R9" i="4"/>
  <c r="R47" i="4"/>
  <c r="R56" i="2"/>
  <c r="R64" i="4"/>
  <c r="R69" i="2"/>
  <c r="R65" i="4"/>
  <c r="R49" i="2"/>
  <c r="R87" i="3"/>
  <c r="R51" i="2"/>
  <c r="R54" i="2"/>
  <c r="R52" i="2"/>
  <c r="R57" i="2"/>
  <c r="X15" i="4"/>
  <c r="X60" i="4"/>
  <c r="X43" i="4"/>
  <c r="X37" i="4"/>
  <c r="X9" i="4"/>
  <c r="X33" i="4"/>
  <c r="X41" i="4"/>
  <c r="X13" i="4"/>
  <c r="X35" i="4"/>
  <c r="X27" i="4"/>
  <c r="X31" i="4"/>
  <c r="X23" i="4"/>
  <c r="X25" i="4"/>
  <c r="X21" i="4"/>
  <c r="X11" i="4"/>
  <c r="X52" i="4"/>
  <c r="X7" i="4"/>
  <c r="X45" i="4"/>
  <c r="X29" i="4"/>
  <c r="X17" i="4"/>
  <c r="X47" i="4"/>
  <c r="X49" i="4"/>
  <c r="P57" i="2"/>
  <c r="P51" i="2"/>
  <c r="P88" i="3"/>
  <c r="P64" i="4"/>
  <c r="P90" i="3"/>
  <c r="Q59" i="4"/>
  <c r="P92" i="3"/>
  <c r="P49" i="2"/>
  <c r="P52" i="2"/>
  <c r="P69" i="2"/>
  <c r="P87" i="3"/>
  <c r="Q50" i="2"/>
  <c r="P91" i="3"/>
  <c r="P94" i="3"/>
  <c r="P56" i="2"/>
  <c r="Q55" i="2"/>
  <c r="P83" i="3"/>
  <c r="Q66" i="4"/>
  <c r="P65" i="4"/>
  <c r="P54" i="2"/>
  <c r="P82" i="3"/>
  <c r="R66" i="4"/>
  <c r="R55" i="2"/>
  <c r="R59" i="4"/>
  <c r="R50" i="2"/>
  <c r="J50" i="2"/>
  <c r="J93" i="3"/>
  <c r="J66" i="4"/>
  <c r="J59" i="4"/>
  <c r="J55" i="2"/>
  <c r="J58" i="4"/>
  <c r="J43" i="2"/>
  <c r="J62" i="4"/>
  <c r="J32" i="2"/>
  <c r="J33" i="2"/>
  <c r="J38" i="2"/>
  <c r="J39" i="2"/>
  <c r="J40" i="2"/>
  <c r="Q51" i="2"/>
  <c r="Q57" i="2"/>
  <c r="Q54" i="2"/>
  <c r="Q65" i="4"/>
  <c r="Q49" i="2"/>
  <c r="Q87" i="3"/>
  <c r="Q56" i="2"/>
  <c r="Q64" i="4"/>
  <c r="Q52" i="2"/>
  <c r="Q69" i="2"/>
  <c r="Y39" i="2"/>
  <c r="Y32" i="2"/>
  <c r="Y62" i="4"/>
  <c r="Y43" i="2"/>
  <c r="Y38" i="2"/>
  <c r="Y33" i="2"/>
  <c r="Y40" i="2"/>
  <c r="Y58" i="4"/>
  <c r="Z66" i="4"/>
  <c r="Z50" i="2"/>
  <c r="Z59" i="4"/>
  <c r="Z55" i="2"/>
  <c r="R94" i="3"/>
  <c r="Z93" i="3"/>
  <c r="R92" i="3"/>
  <c r="Z91" i="3"/>
  <c r="R90" i="3"/>
  <c r="Z89" i="3"/>
  <c r="R88" i="3"/>
  <c r="Z85" i="3"/>
  <c r="R84" i="3"/>
  <c r="Z83" i="3"/>
  <c r="R82" i="3"/>
  <c r="Z78" i="3"/>
  <c r="R77" i="3"/>
  <c r="Z76" i="3"/>
  <c r="X93" i="3"/>
  <c r="X91" i="3"/>
  <c r="X89" i="3"/>
  <c r="U93" i="3"/>
  <c r="U91" i="3"/>
  <c r="U89" i="3"/>
  <c r="U85" i="3"/>
  <c r="U83" i="3"/>
  <c r="U78" i="3"/>
  <c r="U76" i="3"/>
  <c r="U74" i="3"/>
  <c r="U72" i="3"/>
  <c r="U70" i="3"/>
  <c r="U68" i="3"/>
  <c r="U66" i="3"/>
  <c r="U64" i="3"/>
  <c r="U62" i="3"/>
  <c r="U60" i="3"/>
  <c r="U58" i="3"/>
  <c r="S93" i="3"/>
  <c r="S91" i="3"/>
  <c r="S89" i="3"/>
  <c r="X94" i="3"/>
  <c r="X92" i="3"/>
  <c r="X90" i="3"/>
  <c r="X88" i="3"/>
  <c r="X84" i="3"/>
  <c r="V94" i="3"/>
  <c r="V92" i="3"/>
  <c r="V90" i="3"/>
  <c r="V88" i="3"/>
  <c r="V84" i="3"/>
  <c r="V82" i="3"/>
  <c r="V77" i="3"/>
  <c r="V75" i="3"/>
  <c r="V73" i="3"/>
  <c r="V71" i="3"/>
  <c r="U94" i="3"/>
  <c r="U92" i="3"/>
  <c r="U90" i="3"/>
  <c r="U88" i="3"/>
  <c r="U84" i="3"/>
  <c r="U82" i="3"/>
  <c r="U77" i="3"/>
  <c r="U75" i="3"/>
  <c r="U73" i="3"/>
  <c r="U71" i="3"/>
  <c r="U69" i="3"/>
  <c r="U67" i="3"/>
  <c r="U65" i="3"/>
  <c r="U63" i="3"/>
  <c r="T94" i="3"/>
  <c r="T92" i="3"/>
  <c r="T90" i="3"/>
  <c r="T88" i="3"/>
  <c r="Y93" i="3"/>
  <c r="Q92" i="3"/>
  <c r="Y89" i="3"/>
  <c r="S88" i="3"/>
  <c r="V85" i="3"/>
  <c r="W84" i="3"/>
  <c r="X83" i="3"/>
  <c r="R75" i="3"/>
  <c r="W74" i="3"/>
  <c r="T70" i="3"/>
  <c r="Z69" i="3"/>
  <c r="S67" i="3"/>
  <c r="Y66" i="3"/>
  <c r="R64" i="3"/>
  <c r="X63" i="3"/>
  <c r="T61" i="3"/>
  <c r="Q59" i="3"/>
  <c r="X58" i="3"/>
  <c r="W54" i="3"/>
  <c r="W52" i="3"/>
  <c r="W50" i="3"/>
  <c r="W48" i="3"/>
  <c r="W44" i="3"/>
  <c r="W42" i="3"/>
  <c r="W40" i="3"/>
  <c r="W38" i="3"/>
  <c r="W34" i="3"/>
  <c r="W32" i="3"/>
  <c r="W30" i="3"/>
  <c r="W28" i="3"/>
  <c r="W24" i="3"/>
  <c r="W22" i="3"/>
  <c r="W93" i="3"/>
  <c r="W89" i="3"/>
  <c r="Q88" i="3"/>
  <c r="T85" i="3"/>
  <c r="T84" i="3"/>
  <c r="W83" i="3"/>
  <c r="Z82" i="3"/>
  <c r="Q75" i="3"/>
  <c r="V74" i="3"/>
  <c r="Z73" i="3"/>
  <c r="S70" i="3"/>
  <c r="Y69" i="3"/>
  <c r="V93" i="3"/>
  <c r="V89" i="3"/>
  <c r="S85" i="3"/>
  <c r="S84" i="3"/>
  <c r="V83" i="3"/>
  <c r="Y82" i="3"/>
  <c r="T74" i="3"/>
  <c r="Y73" i="3"/>
  <c r="R70" i="3"/>
  <c r="X69" i="3"/>
  <c r="Q67" i="3"/>
  <c r="W66" i="3"/>
  <c r="V63" i="3"/>
  <c r="R61" i="3"/>
  <c r="Y60" i="3"/>
  <c r="V58" i="3"/>
  <c r="U54" i="3"/>
  <c r="U52" i="3"/>
  <c r="U50" i="3"/>
  <c r="U48" i="3"/>
  <c r="U44" i="3"/>
  <c r="U42" i="3"/>
  <c r="U40" i="3"/>
  <c r="U38" i="3"/>
  <c r="U34" i="3"/>
  <c r="U32" i="3"/>
  <c r="U30" i="3"/>
  <c r="U28" i="3"/>
  <c r="U24" i="3"/>
  <c r="U22" i="3"/>
  <c r="U20" i="3"/>
  <c r="U18" i="3"/>
  <c r="U16" i="3"/>
  <c r="U14" i="3"/>
  <c r="U12" i="3"/>
  <c r="T93" i="3"/>
  <c r="T89" i="3"/>
  <c r="R85" i="3"/>
  <c r="Q84" i="3"/>
  <c r="T83" i="3"/>
  <c r="X82" i="3"/>
  <c r="Y78" i="3"/>
  <c r="S74" i="3"/>
  <c r="X73" i="3"/>
  <c r="Q70" i="3"/>
  <c r="W69" i="3"/>
  <c r="V66" i="3"/>
  <c r="T63" i="3"/>
  <c r="Q61" i="3"/>
  <c r="X60" i="3"/>
  <c r="T58" i="3"/>
  <c r="T54" i="3"/>
  <c r="T52" i="3"/>
  <c r="T50" i="3"/>
  <c r="T48" i="3"/>
  <c r="T44" i="3"/>
  <c r="T42" i="3"/>
  <c r="T40" i="3"/>
  <c r="T38" i="3"/>
  <c r="T34" i="3"/>
  <c r="T32" i="3"/>
  <c r="T30" i="3"/>
  <c r="T28" i="3"/>
  <c r="T24" i="3"/>
  <c r="Z94" i="3"/>
  <c r="R93" i="3"/>
  <c r="Z90" i="3"/>
  <c r="R89" i="3"/>
  <c r="Q85" i="3"/>
  <c r="S83" i="3"/>
  <c r="W82" i="3"/>
  <c r="X78" i="3"/>
  <c r="R74" i="3"/>
  <c r="W73" i="3"/>
  <c r="Z72" i="3"/>
  <c r="V69" i="3"/>
  <c r="T66" i="3"/>
  <c r="Z65" i="3"/>
  <c r="S63" i="3"/>
  <c r="Z62" i="3"/>
  <c r="W60" i="3"/>
  <c r="S58" i="3"/>
  <c r="Y94" i="3"/>
  <c r="Q93" i="3"/>
  <c r="Y90" i="3"/>
  <c r="Q89" i="3"/>
  <c r="R83" i="3"/>
  <c r="T82" i="3"/>
  <c r="W78" i="3"/>
  <c r="Z77" i="3"/>
  <c r="Q74" i="3"/>
  <c r="T73" i="3"/>
  <c r="Y72" i="3"/>
  <c r="T69" i="3"/>
  <c r="Z68" i="3"/>
  <c r="S66" i="3"/>
  <c r="Y65" i="3"/>
  <c r="R63" i="3"/>
  <c r="Y62" i="3"/>
  <c r="V60" i="3"/>
  <c r="R58" i="3"/>
  <c r="Z57" i="3"/>
  <c r="Z55" i="3"/>
  <c r="R54" i="3"/>
  <c r="Z53" i="3"/>
  <c r="R52" i="3"/>
  <c r="Z51" i="3"/>
  <c r="R50" i="3"/>
  <c r="Z49" i="3"/>
  <c r="R48" i="3"/>
  <c r="Z47" i="3"/>
  <c r="Z45" i="3"/>
  <c r="R44" i="3"/>
  <c r="Z43" i="3"/>
  <c r="R42" i="3"/>
  <c r="W94" i="3"/>
  <c r="W90" i="3"/>
  <c r="Q83" i="3"/>
  <c r="S82" i="3"/>
  <c r="V78" i="3"/>
  <c r="Y77" i="3"/>
  <c r="S73" i="3"/>
  <c r="X72" i="3"/>
  <c r="S69" i="3"/>
  <c r="Y68" i="3"/>
  <c r="R66" i="3"/>
  <c r="X65" i="3"/>
  <c r="Q63" i="3"/>
  <c r="X62" i="3"/>
  <c r="T60" i="3"/>
  <c r="Q58" i="3"/>
  <c r="Y57" i="3"/>
  <c r="Y55" i="3"/>
  <c r="Q54" i="3"/>
  <c r="Y53" i="3"/>
  <c r="Q52" i="3"/>
  <c r="Y51" i="3"/>
  <c r="Q50" i="3"/>
  <c r="Y49" i="3"/>
  <c r="Q48" i="3"/>
  <c r="Y47" i="3"/>
  <c r="Y45" i="3"/>
  <c r="Q44" i="3"/>
  <c r="Y43" i="3"/>
  <c r="Q42" i="3"/>
  <c r="Y41" i="3"/>
  <c r="Q40" i="3"/>
  <c r="Y39" i="3"/>
  <c r="Q38" i="3"/>
  <c r="Y35" i="3"/>
  <c r="Q34" i="3"/>
  <c r="Y33" i="3"/>
  <c r="Q32" i="3"/>
  <c r="Y31" i="3"/>
  <c r="Q30" i="3"/>
  <c r="Y29" i="3"/>
  <c r="Q28" i="3"/>
  <c r="Y27" i="3"/>
  <c r="Y25" i="3"/>
  <c r="Q24" i="3"/>
  <c r="Y23" i="3"/>
  <c r="Q22" i="3"/>
  <c r="Y21" i="3"/>
  <c r="Q20" i="3"/>
  <c r="Y19" i="3"/>
  <c r="Q18" i="3"/>
  <c r="Y17" i="3"/>
  <c r="Q16" i="3"/>
  <c r="Y15" i="3"/>
  <c r="S94" i="3"/>
  <c r="S90" i="3"/>
  <c r="Q82" i="3"/>
  <c r="T78" i="3"/>
  <c r="X77" i="3"/>
  <c r="Y76" i="3"/>
  <c r="R73" i="3"/>
  <c r="W72" i="3"/>
  <c r="R69" i="3"/>
  <c r="X68" i="3"/>
  <c r="Q66" i="3"/>
  <c r="W65" i="3"/>
  <c r="W62" i="3"/>
  <c r="S60" i="3"/>
  <c r="Z59" i="3"/>
  <c r="X57" i="3"/>
  <c r="Q94" i="3"/>
  <c r="Y91" i="3"/>
  <c r="Q90" i="3"/>
  <c r="S78" i="3"/>
  <c r="W77" i="3"/>
  <c r="X76" i="3"/>
  <c r="Q73" i="3"/>
  <c r="V72" i="3"/>
  <c r="Z71" i="3"/>
  <c r="Q69" i="3"/>
  <c r="W68" i="3"/>
  <c r="V65" i="3"/>
  <c r="V62" i="3"/>
  <c r="R60" i="3"/>
  <c r="Y59" i="3"/>
  <c r="W57" i="3"/>
  <c r="W55" i="3"/>
  <c r="W53" i="3"/>
  <c r="W51" i="3"/>
  <c r="W49" i="3"/>
  <c r="W47" i="3"/>
  <c r="W45" i="3"/>
  <c r="W43" i="3"/>
  <c r="W41" i="3"/>
  <c r="W39" i="3"/>
  <c r="W35" i="3"/>
  <c r="W33" i="3"/>
  <c r="W31" i="3"/>
  <c r="W29" i="3"/>
  <c r="W27" i="3"/>
  <c r="W25" i="3"/>
  <c r="W23" i="3"/>
  <c r="W21" i="3"/>
  <c r="W19" i="3"/>
  <c r="W17" i="3"/>
  <c r="W15" i="3"/>
  <c r="W13" i="3"/>
  <c r="W11" i="3"/>
  <c r="W9" i="3"/>
  <c r="W91" i="3"/>
  <c r="R78" i="3"/>
  <c r="T77" i="3"/>
  <c r="W76" i="3"/>
  <c r="T72" i="3"/>
  <c r="Y71" i="3"/>
  <c r="V91" i="3"/>
  <c r="Q78" i="3"/>
  <c r="S77" i="3"/>
  <c r="V76" i="3"/>
  <c r="Z75" i="3"/>
  <c r="S72" i="3"/>
  <c r="X71" i="3"/>
  <c r="T68" i="3"/>
  <c r="Z67" i="3"/>
  <c r="T91" i="3"/>
  <c r="Q77" i="3"/>
  <c r="T76" i="3"/>
  <c r="Y75" i="3"/>
  <c r="R72" i="3"/>
  <c r="W71" i="3"/>
  <c r="Z70" i="3"/>
  <c r="S68" i="3"/>
  <c r="Y67" i="3"/>
  <c r="R65" i="3"/>
  <c r="X64" i="3"/>
  <c r="Z92" i="3"/>
  <c r="R91" i="3"/>
  <c r="S76" i="3"/>
  <c r="X75" i="3"/>
  <c r="Q72" i="3"/>
  <c r="T71" i="3"/>
  <c r="Y70" i="3"/>
  <c r="R68" i="3"/>
  <c r="X67" i="3"/>
  <c r="Q65" i="3"/>
  <c r="W64" i="3"/>
  <c r="Q62" i="3"/>
  <c r="X61" i="3"/>
  <c r="U59" i="3"/>
  <c r="S57" i="3"/>
  <c r="S55" i="3"/>
  <c r="S53" i="3"/>
  <c r="S51" i="3"/>
  <c r="S49" i="3"/>
  <c r="S47" i="3"/>
  <c r="S45" i="3"/>
  <c r="S43" i="3"/>
  <c r="S92" i="3"/>
  <c r="W88" i="3"/>
  <c r="W85" i="3"/>
  <c r="Y84" i="3"/>
  <c r="Y83" i="3"/>
  <c r="S75" i="3"/>
  <c r="X74" i="3"/>
  <c r="Q71" i="3"/>
  <c r="V70" i="3"/>
  <c r="T67" i="3"/>
  <c r="Z66" i="3"/>
  <c r="S64" i="3"/>
  <c r="Y63" i="3"/>
  <c r="U61" i="3"/>
  <c r="R59" i="3"/>
  <c r="Y58" i="3"/>
  <c r="X54" i="3"/>
  <c r="X52" i="3"/>
  <c r="X50" i="3"/>
  <c r="X48" i="3"/>
  <c r="X44" i="3"/>
  <c r="X42" i="3"/>
  <c r="X40" i="3"/>
  <c r="Y85" i="3"/>
  <c r="W75" i="3"/>
  <c r="V52" i="3"/>
  <c r="V48" i="3"/>
  <c r="V44" i="3"/>
  <c r="Q23" i="3"/>
  <c r="R22" i="3"/>
  <c r="U21" i="3"/>
  <c r="Z20" i="3"/>
  <c r="S17" i="3"/>
  <c r="X16" i="3"/>
  <c r="S13" i="3"/>
  <c r="Y12" i="3"/>
  <c r="S10" i="3"/>
  <c r="Z9" i="3"/>
  <c r="X7" i="3"/>
  <c r="X85" i="3"/>
  <c r="T75" i="3"/>
  <c r="S52" i="3"/>
  <c r="S48" i="3"/>
  <c r="S44" i="3"/>
  <c r="T21" i="3"/>
  <c r="Y20" i="3"/>
  <c r="R17" i="3"/>
  <c r="W16" i="3"/>
  <c r="R13" i="3"/>
  <c r="X12" i="3"/>
  <c r="R10" i="3"/>
  <c r="Y9" i="3"/>
  <c r="W7" i="3"/>
  <c r="Z84" i="3"/>
  <c r="Y74" i="3"/>
  <c r="Z63" i="3"/>
  <c r="Y61" i="3"/>
  <c r="X59" i="3"/>
  <c r="V53" i="3"/>
  <c r="V49" i="3"/>
  <c r="V45" i="3"/>
  <c r="X39" i="3"/>
  <c r="Z38" i="3"/>
  <c r="Z35" i="3"/>
  <c r="R21" i="3"/>
  <c r="W20" i="3"/>
  <c r="T16" i="3"/>
  <c r="X15" i="3"/>
  <c r="V12" i="3"/>
  <c r="V9" i="3"/>
  <c r="U7" i="3"/>
  <c r="Y92" i="3"/>
  <c r="W63" i="3"/>
  <c r="W61" i="3"/>
  <c r="W59" i="3"/>
  <c r="U53" i="3"/>
  <c r="U49" i="3"/>
  <c r="U45" i="3"/>
  <c r="Z41" i="3"/>
  <c r="Z40" i="3"/>
  <c r="V39" i="3"/>
  <c r="Y38" i="3"/>
  <c r="X35" i="3"/>
  <c r="Z34" i="3"/>
  <c r="Z33" i="3"/>
  <c r="Q21" i="3"/>
  <c r="V20" i="3"/>
  <c r="Z19" i="3"/>
  <c r="S16" i="3"/>
  <c r="V15" i="3"/>
  <c r="T12" i="3"/>
  <c r="Z11" i="3"/>
  <c r="U9" i="3"/>
  <c r="T7" i="3"/>
  <c r="W92" i="3"/>
  <c r="V68" i="3"/>
  <c r="T65" i="3"/>
  <c r="V61" i="3"/>
  <c r="V59" i="3"/>
  <c r="V57" i="3"/>
  <c r="T53" i="3"/>
  <c r="T49" i="3"/>
  <c r="T45" i="3"/>
  <c r="X41" i="3"/>
  <c r="Y40" i="3"/>
  <c r="U39" i="3"/>
  <c r="X38" i="3"/>
  <c r="V35" i="3"/>
  <c r="Y34" i="3"/>
  <c r="X33" i="3"/>
  <c r="Z32" i="3"/>
  <c r="Z31" i="3"/>
  <c r="T20" i="3"/>
  <c r="X19" i="3"/>
  <c r="R16" i="3"/>
  <c r="U15" i="3"/>
  <c r="Z14" i="3"/>
  <c r="S12" i="3"/>
  <c r="Y11" i="3"/>
  <c r="Q91" i="3"/>
  <c r="Q68" i="3"/>
  <c r="S65" i="3"/>
  <c r="S61" i="3"/>
  <c r="T59" i="3"/>
  <c r="U57" i="3"/>
  <c r="Z54" i="3"/>
  <c r="R53" i="3"/>
  <c r="Z50" i="3"/>
  <c r="R49" i="3"/>
  <c r="R45" i="3"/>
  <c r="V41" i="3"/>
  <c r="V40" i="3"/>
  <c r="T39" i="3"/>
  <c r="V38" i="3"/>
  <c r="U35" i="3"/>
  <c r="X34" i="3"/>
  <c r="V33" i="3"/>
  <c r="Y32" i="3"/>
  <c r="X31" i="3"/>
  <c r="Z30" i="3"/>
  <c r="S59" i="3"/>
  <c r="T57" i="3"/>
  <c r="Y54" i="3"/>
  <c r="Q53" i="3"/>
  <c r="Y50" i="3"/>
  <c r="Q49" i="3"/>
  <c r="Q45" i="3"/>
  <c r="Z42" i="3"/>
  <c r="U41" i="3"/>
  <c r="S40" i="3"/>
  <c r="S39" i="3"/>
  <c r="S38" i="3"/>
  <c r="T35" i="3"/>
  <c r="V34" i="3"/>
  <c r="U33" i="3"/>
  <c r="X32" i="3"/>
  <c r="V31" i="3"/>
  <c r="Y30" i="3"/>
  <c r="X29" i="3"/>
  <c r="Z28" i="3"/>
  <c r="Z27" i="3"/>
  <c r="R20" i="3"/>
  <c r="U19" i="3"/>
  <c r="Z18" i="3"/>
  <c r="S15" i="3"/>
  <c r="X14" i="3"/>
  <c r="Q12" i="3"/>
  <c r="V11" i="3"/>
  <c r="R9" i="3"/>
  <c r="Y8" i="3"/>
  <c r="Q7" i="3"/>
  <c r="R57" i="3"/>
  <c r="V54" i="3"/>
  <c r="V50" i="3"/>
  <c r="Y42" i="3"/>
  <c r="T41" i="3"/>
  <c r="R40" i="3"/>
  <c r="R39" i="3"/>
  <c r="R38" i="3"/>
  <c r="S35" i="3"/>
  <c r="S34" i="3"/>
  <c r="T33" i="3"/>
  <c r="V32" i="3"/>
  <c r="U31" i="3"/>
  <c r="X30" i="3"/>
  <c r="V29" i="3"/>
  <c r="Y28" i="3"/>
  <c r="X27" i="3"/>
  <c r="W67" i="3"/>
  <c r="Q57" i="3"/>
  <c r="S54" i="3"/>
  <c r="S50" i="3"/>
  <c r="V42" i="3"/>
  <c r="S41" i="3"/>
  <c r="Q39" i="3"/>
  <c r="R35" i="3"/>
  <c r="R34" i="3"/>
  <c r="S33" i="3"/>
  <c r="S32" i="3"/>
  <c r="T31" i="3"/>
  <c r="V30" i="3"/>
  <c r="Z88" i="3"/>
  <c r="S71" i="3"/>
  <c r="V67" i="3"/>
  <c r="Z64" i="3"/>
  <c r="X55" i="3"/>
  <c r="X51" i="3"/>
  <c r="Y88" i="3"/>
  <c r="R71" i="3"/>
  <c r="R67" i="3"/>
  <c r="Y64" i="3"/>
  <c r="T62" i="3"/>
  <c r="V55" i="3"/>
  <c r="V51" i="3"/>
  <c r="V47" i="3"/>
  <c r="V43" i="3"/>
  <c r="Q41" i="3"/>
  <c r="Q33" i="3"/>
  <c r="R31" i="3"/>
  <c r="R30" i="3"/>
  <c r="S29" i="3"/>
  <c r="S28" i="3"/>
  <c r="T27" i="3"/>
  <c r="U25" i="3"/>
  <c r="X24" i="3"/>
  <c r="V23" i="3"/>
  <c r="Y22" i="3"/>
  <c r="Q19" i="3"/>
  <c r="V18" i="3"/>
  <c r="Z17" i="3"/>
  <c r="S14" i="3"/>
  <c r="Y13" i="3"/>
  <c r="R11" i="3"/>
  <c r="X10" i="3"/>
  <c r="U8" i="3"/>
  <c r="X70" i="3"/>
  <c r="T64" i="3"/>
  <c r="R62" i="3"/>
  <c r="Q60" i="3"/>
  <c r="Z58" i="3"/>
  <c r="T55" i="3"/>
  <c r="T51" i="3"/>
  <c r="T47" i="3"/>
  <c r="T43" i="3"/>
  <c r="Q29" i="3"/>
  <c r="R27" i="3"/>
  <c r="S25" i="3"/>
  <c r="S24" i="3"/>
  <c r="T23" i="3"/>
  <c r="V22" i="3"/>
  <c r="Z21" i="3"/>
  <c r="S18" i="3"/>
  <c r="V17" i="3"/>
  <c r="Q14" i="3"/>
  <c r="V13" i="3"/>
  <c r="V10" i="3"/>
  <c r="S8" i="3"/>
  <c r="R76" i="3"/>
  <c r="W70" i="3"/>
  <c r="Q64" i="3"/>
  <c r="W58" i="3"/>
  <c r="R55" i="3"/>
  <c r="Z52" i="3"/>
  <c r="R51" i="3"/>
  <c r="Z48" i="3"/>
  <c r="R47" i="3"/>
  <c r="Z44" i="3"/>
  <c r="R43" i="3"/>
  <c r="Q27" i="3"/>
  <c r="R25" i="3"/>
  <c r="R24" i="3"/>
  <c r="S23" i="3"/>
  <c r="T22" i="3"/>
  <c r="X21" i="3"/>
  <c r="R18" i="3"/>
  <c r="U17" i="3"/>
  <c r="Z16" i="3"/>
  <c r="U13" i="3"/>
  <c r="U10" i="3"/>
  <c r="R8" i="3"/>
  <c r="Z7" i="3"/>
  <c r="Q76" i="3"/>
  <c r="X66" i="3"/>
  <c r="Q55" i="3"/>
  <c r="Y52" i="3"/>
  <c r="Q51" i="3"/>
  <c r="Y48" i="3"/>
  <c r="Q47" i="3"/>
  <c r="Y44" i="3"/>
  <c r="Q43" i="3"/>
  <c r="Q25" i="3"/>
  <c r="R23" i="3"/>
  <c r="S22" i="3"/>
  <c r="V21" i="3"/>
  <c r="T17" i="3"/>
  <c r="Y16" i="3"/>
  <c r="U29" i="3"/>
  <c r="R41" i="3"/>
  <c r="T29" i="3"/>
  <c r="Z23" i="3"/>
  <c r="Y14" i="3"/>
  <c r="Q8" i="3"/>
  <c r="X47" i="3"/>
  <c r="R29" i="3"/>
  <c r="X23" i="3"/>
  <c r="W14" i="3"/>
  <c r="X9" i="3"/>
  <c r="U47" i="3"/>
  <c r="R33" i="3"/>
  <c r="U23" i="3"/>
  <c r="V14" i="3"/>
  <c r="Z12" i="3"/>
  <c r="T9" i="3"/>
  <c r="U55" i="3"/>
  <c r="Z25" i="3"/>
  <c r="Y18" i="3"/>
  <c r="V16" i="3"/>
  <c r="T14" i="3"/>
  <c r="W12" i="3"/>
  <c r="S9" i="3"/>
  <c r="Z74" i="3"/>
  <c r="X28" i="3"/>
  <c r="X25" i="3"/>
  <c r="X18" i="3"/>
  <c r="R14" i="3"/>
  <c r="R12" i="3"/>
  <c r="Q9" i="3"/>
  <c r="Z39" i="3"/>
  <c r="R32" i="3"/>
  <c r="V28" i="3"/>
  <c r="V25" i="3"/>
  <c r="X20" i="3"/>
  <c r="W18" i="3"/>
  <c r="Z10" i="3"/>
  <c r="X53" i="3"/>
  <c r="X45" i="3"/>
  <c r="R28" i="3"/>
  <c r="T25" i="3"/>
  <c r="S20" i="3"/>
  <c r="T18" i="3"/>
  <c r="Y10" i="3"/>
  <c r="Z22" i="3"/>
  <c r="W10" i="3"/>
  <c r="S31" i="3"/>
  <c r="X22" i="3"/>
  <c r="T10" i="3"/>
  <c r="Y7" i="3"/>
  <c r="V64" i="3"/>
  <c r="U51" i="3"/>
  <c r="Q31" i="3"/>
  <c r="V27" i="3"/>
  <c r="Z15" i="3"/>
  <c r="Z13" i="3"/>
  <c r="Q10" i="3"/>
  <c r="V7" i="3"/>
  <c r="X43" i="3"/>
  <c r="U27" i="3"/>
  <c r="Z24" i="3"/>
  <c r="T15" i="3"/>
  <c r="X13" i="3"/>
  <c r="S7" i="3"/>
  <c r="S62" i="3"/>
  <c r="U43" i="3"/>
  <c r="S30" i="3"/>
  <c r="S27" i="3"/>
  <c r="Y24" i="3"/>
  <c r="R15" i="3"/>
  <c r="T13" i="3"/>
  <c r="X11" i="3"/>
  <c r="Z8" i="3"/>
  <c r="R7" i="3"/>
  <c r="Z61" i="3"/>
  <c r="Q35" i="3"/>
  <c r="V24" i="3"/>
  <c r="V19" i="3"/>
  <c r="X17" i="3"/>
  <c r="Q15" i="3"/>
  <c r="Q13" i="3"/>
  <c r="U11" i="3"/>
  <c r="X8" i="3"/>
  <c r="Z29" i="3"/>
  <c r="S19" i="3"/>
  <c r="S11" i="3"/>
  <c r="V8" i="3"/>
  <c r="Z60" i="3"/>
  <c r="X49" i="3"/>
  <c r="S42" i="3"/>
  <c r="T11" i="3"/>
  <c r="Q11" i="3"/>
  <c r="W8" i="3"/>
  <c r="T8" i="3"/>
  <c r="S21" i="3"/>
  <c r="T19" i="3"/>
  <c r="R19" i="3"/>
  <c r="Q17" i="3"/>
</calcChain>
</file>

<file path=xl/sharedStrings.xml><?xml version="1.0" encoding="utf-8"?>
<sst xmlns="http://schemas.openxmlformats.org/spreadsheetml/2006/main" count="609" uniqueCount="435">
  <si>
    <t>Revenue</t>
  </si>
  <si>
    <t>Gross Profit</t>
  </si>
  <si>
    <t>Reference Items</t>
  </si>
  <si>
    <t>Right click to show data transparency (not supported for all values)</t>
  </si>
  <si>
    <t>Alnylam Pharmaceuticals Inc (ALNY US) - Adjusted</t>
  </si>
  <si>
    <t>In Millions of USD except Per Share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</si>
  <si>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</si>
  <si>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</si>
  <si>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</si>
  <si>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</si>
  <si>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</si>
  <si>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</si>
  <si>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</si>
  <si>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</si>
  <si>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</si>
  <si>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</si>
  <si>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</si>
  <si>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</si>
  <si>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</si>
  <si>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</si>
  <si>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</si>
  <si>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</si>
  <si>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</si>
  <si>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</si>
  <si>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</si>
  <si>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</si>
  <si>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</si>
  <si>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</si>
  <si>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</si>
  <si>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</si>
  <si>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3 Months Ending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</si>
  <si>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</si>
  <si>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</si>
  <si>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</si>
  <si>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</si>
  <si>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</si>
  <si>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</si>
  <si>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</si>
  <si>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</si>
  <si>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</si>
  <si>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</si>
  <si>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</si>
  <si>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</si>
  <si>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</si>
  <si>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</si>
  <si>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</si>
  <si>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</si>
  <si>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</si>
  <si>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</si>
  <si>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</si>
  <si>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</si>
  <si>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</si>
  <si>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</si>
  <si>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09/30/2024</t>
  </si>
  <si>
    <t>12/31/2024</t>
  </si>
  <si>
    <t>SALES_REV_TURN</t>
  </si>
  <si>
    <t xml:space="preserve">    + Sales &amp; Services Revenue</t>
  </si>
  <si>
    <t>IS_SALES_AND_SERVICES_REVENUES</t>
  </si>
  <si>
    <t xml:space="preserve">    + Other Revenue</t>
  </si>
  <si>
    <t>IS_OTHER_REVENUE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</si>
  <si>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</si>
  <si>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</si>
  <si>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</si>
  <si>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</si>
  <si>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</si>
  <si>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</si>
  <si>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</si>
  <si>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</si>
  <si>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</si>
  <si>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</si>
  <si>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</si>
  <si>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</si>
  <si>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</si>
  <si>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</si>
  <si>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</si>
  <si>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</si>
  <si>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</si>
  <si>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</si>
  <si>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</si>
  <si>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</si>
  <si>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</si>
  <si>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</si>
  <si>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</si>
  <si>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</si>
  <si>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</si>
  <si>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</si>
  <si>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</si>
  <si>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</si>
  <si>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</si>
  <si>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</si>
  <si>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</si>
  <si>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</si>
  <si>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</si>
  <si>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Merger/Acquisition Expense</t>
  </si>
  <si>
    <t>IS_MERGER_ACQUISITION_EXPENSE</t>
  </si>
  <si>
    <t xml:space="preserve">    + Early Extinguishment of Debt</t>
  </si>
  <si>
    <t>IS_G_L_ON_EXT_DBT_OR_SETTLE_DBT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</si>
  <si>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</si>
  <si>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</si>
  <si>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</si>
  <si>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</si>
  <si>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Unrealized Investments</t>
  </si>
  <si>
    <t>IS_UNREALIZED_INVESTMENTS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</si>
  <si>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</si>
  <si>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</si>
  <si>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</si>
  <si>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</si>
  <si>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</si>
  <si>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</si>
  <si>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</si>
  <si>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</si>
  <si>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</si>
  <si>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</si>
  <si>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</si>
  <si>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</si>
  <si>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</si>
  <si>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</si>
  <si>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</si>
  <si>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</si>
  <si>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</si>
  <si>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</si>
  <si>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</si>
  <si>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</si>
  <si>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</si>
  <si>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</si>
  <si>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</si>
  <si>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</si>
  <si>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</si>
  <si>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</si>
  <si>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</si>
  <si>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</si>
  <si>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</si>
  <si>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</si>
  <si>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</si>
  <si>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</si>
  <si>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</si>
  <si>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</si>
  <si>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</si>
  <si>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</si>
  <si>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</si>
  <si>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</si>
  <si>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</si>
  <si>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</si>
  <si>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</si>
  <si>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</si>
  <si>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</si>
  <si>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</si>
  <si>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</si>
  <si>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</si>
  <si>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</si>
  <si>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</si>
  <si>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</si>
  <si>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</si>
  <si>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</si>
  <si>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</si>
  <si>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</si>
  <si>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</si>
  <si>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</si>
  <si>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</si>
  <si>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</si>
  <si>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</si>
  <si>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</si>
  <si>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</si>
  <si>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</si>
  <si>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</si>
  <si>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</si>
  <si>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</si>
  <si>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</si>
  <si>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Depreciation Expense</t>
  </si>
  <si>
    <t>IS_DEPR_EXP</t>
  </si>
  <si>
    <t>Rental Expense</t>
  </si>
  <si>
    <t>BS_CURR_RENTAL_EXPENSE</t>
  </si>
  <si>
    <t>Source: Bloomberg</t>
  </si>
  <si>
    <t>Alnylam Pharmaceuticals Inc (ALNY US) - Standardized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</si>
  <si>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</si>
  <si>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</si>
  <si>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</si>
  <si>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</si>
  <si>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</si>
  <si>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</si>
  <si>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</si>
  <si>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</si>
  <si>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</si>
  <si>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</si>
  <si>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</si>
  <si>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</si>
  <si>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</si>
  <si>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</si>
  <si>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</si>
  <si>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</si>
  <si>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</si>
  <si>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</si>
  <si>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</si>
  <si>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</si>
  <si>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</si>
  <si>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</si>
  <si>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</si>
  <si>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</si>
  <si>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</si>
  <si>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Derivative &amp; Hedging Assets</t>
  </si>
  <si>
    <t>BS_DERIV_HEDGING_ASST_ST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</si>
  <si>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</si>
  <si>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</si>
  <si>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</si>
  <si>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</si>
  <si>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</si>
  <si>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</si>
  <si>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</si>
  <si>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</si>
  <si>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</si>
  <si>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</si>
  <si>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</si>
  <si>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</si>
  <si>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</si>
  <si>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</si>
  <si>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</si>
  <si>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</si>
  <si>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</si>
  <si>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</si>
  <si>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</si>
  <si>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</si>
  <si>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</si>
  <si>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</si>
  <si>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Deferred Tax Assets</t>
  </si>
  <si>
    <t>BS_DEFERRED_TAX_ASSETS_LT</t>
  </si>
  <si>
    <t>BS_DERIV_HEDGING_ASST_LT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</si>
  <si>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</si>
  <si>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</si>
  <si>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</si>
  <si>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</si>
  <si>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</si>
  <si>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</si>
  <si>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</si>
  <si>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</si>
  <si>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</si>
  <si>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</si>
  <si>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</si>
  <si>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</si>
  <si>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</si>
  <si>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INTEREST_DIVIDENDS_PAYABLE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</si>
  <si>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</si>
  <si>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</si>
  <si>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</si>
  <si>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</si>
  <si>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</si>
  <si>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</si>
  <si>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</si>
  <si>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</si>
  <si>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</si>
  <si>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</si>
  <si>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</si>
  <si>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</si>
  <si>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</si>
  <si>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</si>
  <si>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</si>
  <si>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</si>
  <si>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</si>
  <si>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BS_DERIV_HEDGING_LIAB_ST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</si>
  <si>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</si>
  <si>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</si>
  <si>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</si>
  <si>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</si>
  <si>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</si>
  <si>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</si>
  <si>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</si>
  <si>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</si>
  <si>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</si>
  <si>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</si>
  <si>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  + LT Finance Leases</t>
  </si>
  <si>
    <t>LT_CAPITAL_LEASE_OBLIGATIONS</t>
  </si>
  <si>
    <t xml:space="preserve">      + LT Operating Leases</t>
  </si>
  <si>
    <t>BS_LT_OPERATING_LEASE_LIABS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</si>
  <si>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</si>
  <si>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</si>
  <si>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</si>
  <si>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</si>
  <si>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</si>
  <si>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</si>
  <si>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</si>
  <si>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</si>
  <si>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</si>
  <si>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</si>
  <si>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</si>
  <si>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>BS_DERIV_HEDGING_LIAB_LT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</si>
  <si>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</si>
  <si>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</si>
  <si>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</si>
  <si>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</si>
  <si>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</si>
  <si>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</si>
  <si>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</si>
  <si>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</si>
  <si>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</si>
  <si>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</si>
  <si>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</si>
  <si>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</si>
  <si>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</si>
  <si>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</si>
  <si>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</si>
  <si>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</si>
  <si>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</si>
  <si>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</si>
  <si>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</si>
  <si>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</si>
  <si>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</si>
  <si>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</si>
  <si>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</si>
  <si>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</si>
  <si>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</si>
  <si>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</si>
  <si>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</si>
  <si>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</si>
  <si>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</si>
  <si>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</si>
  <si>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</si>
  <si>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</si>
  <si>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</si>
  <si>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</si>
  <si>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</si>
  <si>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</si>
  <si>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</si>
  <si>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</si>
  <si>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</si>
  <si>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</si>
  <si>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</si>
  <si>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</si>
  <si>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</si>
  <si>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</si>
  <si>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</si>
  <si>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</si>
  <si>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</si>
  <si>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</si>
  <si>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</si>
  <si>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</si>
  <si>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</si>
  <si>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</si>
  <si>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</si>
  <si>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</si>
  <si>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</si>
  <si>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</si>
  <si>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</si>
  <si>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</si>
  <si>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</si>
  <si>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</si>
  <si>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</si>
  <si>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</si>
  <si>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</si>
  <si>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</si>
  <si>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</si>
  <si>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</si>
  <si>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</si>
  <si>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</si>
  <si>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</si>
  <si>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</si>
  <si>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</si>
  <si>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</si>
  <si>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</si>
  <si>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</si>
  <si>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</si>
  <si>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</si>
  <si>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</si>
  <si>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</si>
  <si>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</si>
  <si>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</si>
  <si>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</si>
  <si>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</si>
  <si>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</si>
  <si>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</si>
  <si>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</si>
  <si>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</si>
  <si>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</si>
  <si>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</si>
  <si>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ACQUIS_OF_FIXED_INTANG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</si>
  <si>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</si>
  <si>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</si>
  <si>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</si>
  <si>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</si>
  <si>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</si>
  <si>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</si>
  <si>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</si>
  <si>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</si>
  <si>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</si>
  <si>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</si>
  <si>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</si>
  <si>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</si>
  <si>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</si>
  <si>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</si>
  <si>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</si>
  <si>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</si>
  <si>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</si>
  <si>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</si>
  <si>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</si>
  <si>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</si>
  <si>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</si>
  <si>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</si>
  <si>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</si>
  <si>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</si>
  <si>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</si>
  <si>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</si>
  <si>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</si>
  <si>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</si>
  <si>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</si>
  <si>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</si>
  <si>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</si>
  <si>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</si>
  <si>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</si>
  <si>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</si>
  <si>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</si>
  <si>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</si>
  <si>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</si>
  <si>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</si>
  <si>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</si>
  <si>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</si>
  <si>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</si>
  <si>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</si>
  <si>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</si>
  <si>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</si>
  <si>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</si>
  <si>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</si>
  <si>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</si>
  <si>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Trailing 12M EBITDA Margin</t>
  </si>
  <si>
    <t>Tax Benefit from Stock Options</t>
  </si>
  <si>
    <t>CF_TAX_BENEFIT_FRM_STOCK_OPTIONS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</si>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</sst>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</cellStyleXfs>
  <cellXfs count="19">
    <xf numFmtId="0" fontId="0" fillId="0" borderId="0" xfId="0"/>
    <xf numFmtId="0" fontId="2" fillId="33" borderId="0" xfId="26"/>
    <xf numFmtId="0" fontId="6" fillId="34" borderId="0" xfId="31">
      <alignment horizontal="center"/>
    </xf>
    <xf numFmtId="0" fontId="7" fillId="33" borderId="3" xfId="33">
      <alignment horizontal="left"/>
    </xf>
    <xf numFmtId="0" fontId="7" fillId="33" borderId="3" xfId="32">
      <alignment horizontal="right"/>
    </xf>
    <xf numFmtId="0" fontId="7" fillId="33" borderId="1" xfId="30">
      <alignment horizontal="right"/>
    </xf>
    <xf numFmtId="0" fontId="8" fillId="34" borderId="5" xfId="35"/>
    <xf numFmtId="0" fontId="11" fillId="35" borderId="4" xfId="34"/>
    <xf numFmtId="0" fontId="5" fillId="33" borderId="15" xfId="51">
      <alignment horizontal="left" vertical="center" readingOrder="1"/>
    </xf>
    <xf numFmtId="0" fontId="7" fillId="33" borderId="1" xfId="52">
      <alignment horizontal="left"/>
    </xf>
    <xf numFmtId="0" fontId="3" fillId="34" borderId="5" xfId="37" applyFont="1"/>
    <xf numFmtId="0" fontId="4" fillId="34" borderId="5" xfId="36" applyFont="1"/>
    <xf numFmtId="3" fontId="1" fillId="34" borderId="2" xfId="53">
      <alignment horizontal="right"/>
    </xf>
    <xf numFmtId="171" fontId="1" fillId="34" borderId="2" xfId="54">
      <alignment horizontal="right"/>
    </xf>
    <xf numFmtId="4" fontId="1" fillId="34" borderId="2" xfId="55">
      <alignment horizontal="right"/>
    </xf>
    <xf numFmtId="3" fontId="8" fillId="34" borderId="2" xfId="56">
      <alignment horizontal="right"/>
    </xf>
    <xf numFmtId="171" fontId="8" fillId="34" borderId="2" xfId="57">
      <alignment horizontal="right"/>
    </xf>
    <xf numFmtId="4" fontId="8" fillId="34" borderId="2" xfId="58">
      <alignment horizontal="right"/>
    </xf>
    <xf numFmtId="171" fontId="11" fillId="34" borderId="2" xfId="59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bold_2_grouped" xfId="58" xr:uid="{00000000-0005-0000-0000-000025000000}"/>
    <cellStyle name="fa_data_italic_1_grouped" xfId="59" xr:uid="{00000000-0005-0000-0000-000026000000}"/>
    <cellStyle name="fa_data_standard_0_grouped" xfId="53" xr:uid="{00000000-0005-0000-0000-000027000000}"/>
    <cellStyle name="fa_data_standard_1_grouped" xfId="54" xr:uid="{00000000-0005-0000-0000-000028000000}"/>
    <cellStyle name="fa_data_standard_2_grouped" xfId="55" xr:uid="{00000000-0005-0000-0000-000029000000}"/>
    <cellStyle name="fa_footer_italic" xfId="34" xr:uid="{00000000-0005-0000-0000-00002A000000}"/>
    <cellStyle name="fa_row_header_bold" xfId="35" xr:uid="{00000000-0005-0000-0000-00002B000000}"/>
    <cellStyle name="fa_row_header_italic" xfId="36" xr:uid="{00000000-0005-0000-0000-00002C000000}"/>
    <cellStyle name="fa_row_header_standard" xfId="37" xr:uid="{00000000-0005-0000-0000-00002D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BDH|17850158906578956436</stp>
        <tr r="Z65" s="4"/>
      </tp>
      <tp t="s">
        <v>#N/A N/A</v>
        <stp/>
        <stp>BDH|12531365514999109376</stp>
        <tr r="L20" s="2"/>
      </tp>
      <tp t="s">
        <v>#N/A N/A</v>
        <stp/>
        <stp>BDH|17705756080794413678</stp>
        <tr r="X40" s="3"/>
      </tp>
      <tp t="s">
        <v>#N/A N/A</v>
        <stp/>
        <stp>BDH|14747611734659289214</stp>
        <tr r="K30" s="4"/>
      </tp>
      <tp t="s">
        <v>#N/A N/A</v>
        <stp/>
        <stp>BDH|11716440994745604304</stp>
        <tr r="O64" s="4"/>
      </tp>
      <tp t="s">
        <v>#N/A N/A</v>
        <stp/>
        <stp>BDH|14331174346288714346</stp>
        <tr r="M61" s="4"/>
      </tp>
      <tp t="s">
        <v>#N/A N/A</v>
        <stp/>
        <stp>BDH|15527805776177776751</stp>
        <tr r="E23" s="4"/>
      </tp>
      <tp t="s">
        <v>#N/A N/A</v>
        <stp/>
        <stp>BDH|16759461992781636046</stp>
        <tr r="F68" s="2"/>
      </tp>
      <tp t="s">
        <v>#N/A N/A</v>
        <stp/>
        <stp>BDH|13281436341069906088</stp>
        <tr r="W19" s="2"/>
      </tp>
      <tp t="s">
        <v>#N/A N/A</v>
        <stp/>
        <stp>BDH|16694498439059388256</stp>
        <tr r="C63" s="4"/>
      </tp>
      <tp t="s">
        <v>#N/A N/A</v>
        <stp/>
        <stp>BDH|12133665181245784310</stp>
        <tr r="E9" s="3"/>
      </tp>
      <tp t="s">
        <v>#N/A N/A</v>
        <stp/>
        <stp>BDH|11298338434709541201</stp>
        <tr r="R22" s="2"/>
      </tp>
      <tp t="s">
        <v>#N/A N/A</v>
        <stp/>
        <stp>BDH|12233634615736449907</stp>
        <tr r="D38" s="2"/>
      </tp>
      <tp t="s">
        <v>#N/A N/A</v>
        <stp/>
        <stp>BDH|11235480892025054387</stp>
        <tr r="M16" s="2"/>
      </tp>
      <tp t="s">
        <v>#N/A N/A</v>
        <stp/>
        <stp>BDH|11737871151053241537</stp>
        <tr r="Y49" s="2"/>
      </tp>
      <tp t="s">
        <v>#N/A N/A</v>
        <stp/>
        <stp>BDH|15958685789393811202</stp>
        <tr r="F22" s="2"/>
      </tp>
      <tp t="s">
        <v>#N/A N/A</v>
        <stp/>
        <stp>BDH|11471883739098630830</stp>
        <tr r="N50" s="3"/>
      </tp>
      <tp t="s">
        <v>#N/A N/A</v>
        <stp/>
        <stp>BDH|14979553571169523581</stp>
        <tr r="G75" s="3"/>
      </tp>
      <tp t="s">
        <v>#N/A N/A</v>
        <stp/>
        <stp>BDH|16274009189044224099</stp>
        <tr r="S20" s="3"/>
      </tp>
      <tp t="s">
        <v>#N/A N/A</v>
        <stp/>
        <stp>BDH|17115534562707738975</stp>
        <tr r="V31" s="2"/>
      </tp>
      <tp t="s">
        <v>#N/A N/A</v>
        <stp/>
        <stp>BDH|17621647465485398872</stp>
        <tr r="W31" s="2"/>
      </tp>
      <tp t="s">
        <v>#N/A N/A</v>
        <stp/>
        <stp>BDH|10170639687115707117</stp>
        <tr r="M60" s="3"/>
      </tp>
      <tp t="s">
        <v>#N/A N/A</v>
        <stp/>
        <stp>BDH|13254274372639567519</stp>
        <tr r="E28" s="2"/>
      </tp>
      <tp t="s">
        <v>#N/A N/A</v>
        <stp/>
        <stp>BDH|17081632692671472365</stp>
        <tr r="U24" s="3"/>
      </tp>
      <tp t="s">
        <v>#N/A N/A</v>
        <stp/>
        <stp>BDH|16178350460141778802</stp>
        <tr r="I29" s="3"/>
      </tp>
      <tp t="s">
        <v>#N/A N/A</v>
        <stp/>
        <stp>BDH|17200773888403957172</stp>
        <tr r="V88" s="3"/>
      </tp>
      <tp t="s">
        <v>#N/A N/A</v>
        <stp/>
        <stp>BDH|15114388798977777250</stp>
        <tr r="U14" s="4"/>
      </tp>
      <tp t="s">
        <v>#N/A N/A</v>
        <stp/>
        <stp>BDH|17391204876699183174</stp>
        <tr r="O42" s="2"/>
      </tp>
      <tp t="s">
        <v>#N/A N/A</v>
        <stp/>
        <stp>BDH|12661036173877291877</stp>
        <tr r="K20" s="3"/>
      </tp>
      <tp t="s">
        <v>#N/A N/A</v>
        <stp/>
        <stp>BDH|15078432881517378423</stp>
        <tr r="L7" s="4"/>
      </tp>
      <tp t="s">
        <v>#N/A N/A</v>
        <stp/>
        <stp>BDH|11592995408360717214</stp>
        <tr r="I42" s="2"/>
      </tp>
      <tp t="s">
        <v>#N/A N/A</v>
        <stp/>
        <stp>BDH|12083705431678174425</stp>
        <tr r="D53" s="3"/>
      </tp>
      <tp t="s">
        <v>#N/A N/A</v>
        <stp/>
        <stp>BDH|10564889550056857173</stp>
        <tr r="L71" s="3"/>
      </tp>
      <tp t="s">
        <v>#N/A N/A</v>
        <stp/>
        <stp>BDH|13172694799853101526</stp>
        <tr r="N17" s="3"/>
      </tp>
      <tp t="s">
        <v>#N/A N/A</v>
        <stp/>
        <stp>BDH|16283855551321712033</stp>
        <tr r="C11" s="4"/>
      </tp>
      <tp t="s">
        <v>#N/A N/A</v>
        <stp/>
        <stp>BDH|16938042098392245755</stp>
        <tr r="O50" s="2"/>
      </tp>
      <tp t="s">
        <v>#N/A N/A</v>
        <stp/>
        <stp>BDH|17216964025991057738</stp>
        <tr r="K61" s="2"/>
      </tp>
      <tp t="s">
        <v>#N/A N/A</v>
        <stp/>
        <stp>BDH|13572930458341827447</stp>
        <tr r="Q38" s="3"/>
      </tp>
      <tp t="s">
        <v>#N/A N/A</v>
        <stp/>
        <stp>BDH|12208317366709752405</stp>
        <tr r="M76" s="3"/>
      </tp>
      <tp t="s">
        <v>#N/A N/A</v>
        <stp/>
        <stp>BDH|17488964767196098472</stp>
        <tr r="R35" s="3"/>
      </tp>
      <tp t="s">
        <v>#N/A N/A</v>
        <stp/>
        <stp>BDH|17322473790094106477</stp>
        <tr r="T23" s="4"/>
      </tp>
      <tp t="s">
        <v>#N/A N/A</v>
        <stp/>
        <stp>BDH|14892924734900423483</stp>
        <tr r="U18" s="3"/>
      </tp>
      <tp t="s">
        <v>#N/A N/A</v>
        <stp/>
        <stp>BDH|18010479324661220546</stp>
        <tr r="D32" s="2"/>
      </tp>
      <tp t="s">
        <v>#N/A N/A</v>
        <stp/>
        <stp>BDH|12060300474489172507</stp>
        <tr r="U8" s="3"/>
      </tp>
      <tp t="s">
        <v>#N/A N/A</v>
        <stp/>
        <stp>BDH|14049012013646202954</stp>
        <tr r="R83" s="3"/>
      </tp>
      <tp t="s">
        <v>#N/A N/A</v>
        <stp/>
        <stp>BDH|16885590794031356124</stp>
        <tr r="L41" s="2"/>
      </tp>
      <tp t="s">
        <v>#N/A N/A</v>
        <stp/>
        <stp>BDH|12532092359688087517</stp>
        <tr r="V56" s="2"/>
      </tp>
      <tp t="s">
        <v>#N/A N/A</v>
        <stp/>
        <stp>BDH|17229581182232486286</stp>
        <tr r="H66" s="3"/>
      </tp>
      <tp t="s">
        <v>#N/A N/A</v>
        <stp/>
        <stp>BDH|14022820697969277631</stp>
        <tr r="H87" s="3"/>
      </tp>
      <tp t="s">
        <v>#N/A N/A</v>
        <stp/>
        <stp>BDH|12656837293431698843</stp>
        <tr r="O52" s="2"/>
      </tp>
      <tp t="s">
        <v>#N/A N/A</v>
        <stp/>
        <stp>BDH|13342016264479621643</stp>
        <tr r="N62" s="4"/>
      </tp>
      <tp t="s">
        <v>#N/A N/A</v>
        <stp/>
        <stp>BDH|11005067572129234523</stp>
        <tr r="N30" s="4"/>
      </tp>
      <tp t="s">
        <v>#N/A N/A</v>
        <stp/>
        <stp>BDH|12957351332570824827</stp>
        <tr r="Z18" s="2"/>
      </tp>
      <tp t="s">
        <v>#N/A N/A</v>
        <stp/>
        <stp>BDH|16343411335949360231</stp>
        <tr r="M58" s="3"/>
      </tp>
      <tp t="s">
        <v>#N/A N/A</v>
        <stp/>
        <stp>BDH|15106515596666690578</stp>
        <tr r="K50" s="4"/>
      </tp>
      <tp t="s">
        <v>#N/A N/A</v>
        <stp/>
        <stp>BDH|11094796280442606694</stp>
        <tr r="L93" s="3"/>
      </tp>
      <tp t="s">
        <v>#N/A N/A</v>
        <stp/>
        <stp>BDH|15150181734294936923</stp>
        <tr r="O33" s="2"/>
      </tp>
      <tp t="s">
        <v>#N/A N/A</v>
        <stp/>
        <stp>BDH|18032773717006750210</stp>
        <tr r="R32" s="4"/>
      </tp>
      <tp t="s">
        <v>#N/A N/A</v>
        <stp/>
        <stp>BDH|10526878701137766529</stp>
        <tr r="E10" s="2"/>
      </tp>
      <tp t="s">
        <v>#N/A N/A</v>
        <stp/>
        <stp>BDH|15558729132168473385</stp>
        <tr r="V54" s="3"/>
      </tp>
      <tp t="s">
        <v>#N/A N/A</v>
        <stp/>
        <stp>BDH|13050693387786362149</stp>
        <tr r="Y64" s="3"/>
      </tp>
      <tp t="s">
        <v>#N/A N/A</v>
        <stp/>
        <stp>BDH|16833660577625031808</stp>
        <tr r="Y60" s="4"/>
      </tp>
      <tp t="s">
        <v>#N/A N/A</v>
        <stp/>
        <stp>BDH|17806569187508911890</stp>
        <tr r="J10" s="4"/>
      </tp>
      <tp t="s">
        <v>#N/A N/A</v>
        <stp/>
        <stp>BDH|16744742928449162037</stp>
        <tr r="S39" s="2"/>
      </tp>
      <tp t="s">
        <v>#N/A N/A</v>
        <stp/>
        <stp>BDH|13264080600800004939</stp>
        <tr r="M69" s="2"/>
      </tp>
      <tp t="s">
        <v>#N/A N/A</v>
        <stp/>
        <stp>BDH|13927704953158095323</stp>
        <tr r="F31" s="2"/>
      </tp>
      <tp t="s">
        <v>#N/A N/A</v>
        <stp/>
        <stp>BDH|10191411790125133297</stp>
        <tr r="E49" s="2"/>
      </tp>
      <tp t="s">
        <v>#N/A N/A</v>
        <stp/>
        <stp>BDH|14743372628559596657</stp>
        <tr r="E38" s="2"/>
      </tp>
      <tp t="s">
        <v>#N/A N/A</v>
        <stp/>
        <stp>BDH|14668301382181991453</stp>
        <tr r="H46" s="2"/>
      </tp>
      <tp t="s">
        <v>#N/A N/A</v>
        <stp/>
        <stp>BDH|14681339320117422891</stp>
        <tr r="K67" s="2"/>
      </tp>
      <tp t="s">
        <v>#N/A N/A</v>
        <stp/>
        <stp>BDH|16396489875087606807</stp>
        <tr r="U55" s="3"/>
      </tp>
      <tp t="s">
        <v>#N/A N/A</v>
        <stp/>
        <stp>BDH|13948158047685786979</stp>
        <tr r="L43" s="3"/>
      </tp>
      <tp t="s">
        <v>#N/A N/A</v>
        <stp/>
        <stp>BDH|12303337898751697353</stp>
        <tr r="R9" s="2"/>
      </tp>
      <tp t="s">
        <v>#N/A N/A</v>
        <stp/>
        <stp>BDH|15384338371788955338</stp>
        <tr r="M85" s="3"/>
      </tp>
      <tp t="s">
        <v>#N/A N/A</v>
        <stp/>
        <stp>BDH|14402594311052194865</stp>
        <tr r="Y54" s="2"/>
      </tp>
      <tp t="s">
        <v>#N/A N/A</v>
        <stp/>
        <stp>BDH|11218349420979551388</stp>
        <tr r="U22" s="4"/>
      </tp>
      <tp t="s">
        <v>#N/A N/A</v>
        <stp/>
        <stp>BDH|10741552948232055912</stp>
        <tr r="D42" s="2"/>
      </tp>
      <tp t="s">
        <v>#N/A N/A</v>
        <stp/>
        <stp>BDH|10298388761839989696</stp>
        <tr r="O57" s="2"/>
      </tp>
      <tp t="s">
        <v>#N/A N/A</v>
        <stp/>
        <stp>BDH|15126985137144071156</stp>
        <tr r="U22" s="3"/>
      </tp>
      <tp t="s">
        <v>#N/A N/A</v>
        <stp/>
        <stp>BDH|12080479223406872874</stp>
        <tr r="V14" s="4"/>
      </tp>
      <tp t="s">
        <v>#N/A N/A</v>
        <stp/>
        <stp>BDH|11359010219748867280</stp>
        <tr r="H40" s="2"/>
      </tp>
      <tp t="s">
        <v>#N/A N/A</v>
        <stp/>
        <stp>BDH|14288085894693761429</stp>
        <tr r="P23" s="2"/>
      </tp>
      <tp t="s">
        <v>#N/A N/A</v>
        <stp/>
        <stp>BDH|14112188799710250680</stp>
        <tr r="P41" s="4"/>
      </tp>
      <tp t="s">
        <v>#N/A N/A</v>
        <stp/>
        <stp>BDH|15896667786445671446</stp>
        <tr r="T32" s="3"/>
      </tp>
      <tp t="s">
        <v>#N/A N/A</v>
        <stp/>
        <stp>BDH|12301998933030740245</stp>
        <tr r="T61" s="4"/>
      </tp>
      <tp t="s">
        <v>#N/A N/A</v>
        <stp/>
        <stp>BDH|11508746345271960971</stp>
        <tr r="W18" s="2"/>
      </tp>
      <tp t="s">
        <v>#N/A N/A</v>
        <stp/>
        <stp>BDH|10770397916550669843</stp>
        <tr r="W8" s="2"/>
      </tp>
      <tp t="s">
        <v>#N/A N/A</v>
        <stp/>
        <stp>BDH|16092490711429194033</stp>
        <tr r="F51" s="2"/>
      </tp>
      <tp t="s">
        <v>#N/A N/A</v>
        <stp/>
        <stp>BDH|13159830018616328648</stp>
        <tr r="K25" s="3"/>
      </tp>
      <tp t="s">
        <v>#N/A N/A</v>
        <stp/>
        <stp>BDH|12183395293084732616</stp>
        <tr r="R35" s="2"/>
        <tr r="R47" s="2"/>
      </tp>
      <tp t="s">
        <v>#N/A N/A</v>
        <stp/>
        <stp>BDH|16836133437807828994</stp>
        <tr r="R30" s="3"/>
      </tp>
      <tp t="s">
        <v>#N/A N/A</v>
        <stp/>
        <stp>BDH|13883784194746822118</stp>
        <tr r="Z21" s="2"/>
      </tp>
      <tp t="s">
        <v>#N/A N/A</v>
        <stp/>
        <stp>BDH|13814045180434553542</stp>
        <tr r="C27" s="2"/>
      </tp>
      <tp t="s">
        <v>#N/A N/A</v>
        <stp/>
        <stp>BDH|11830864314733014176</stp>
        <tr r="U93" s="3"/>
      </tp>
      <tp t="s">
        <v>#N/A N/A</v>
        <stp/>
        <stp>BDH|17579003430029842705</stp>
        <tr r="K93" s="3"/>
      </tp>
      <tp t="s">
        <v>#N/A N/A</v>
        <stp/>
        <stp>BDH|18115570119974263215</stp>
        <tr r="E26" s="2"/>
      </tp>
      <tp t="s">
        <v>#N/A N/A</v>
        <stp/>
        <stp>BDH|10504187417468519238</stp>
        <tr r="E46" s="2"/>
      </tp>
      <tp t="s">
        <v>#N/A N/A</v>
        <stp/>
        <stp>BDH|14867935984888420771</stp>
        <tr r="F8" s="3"/>
      </tp>
      <tp t="s">
        <v>#N/A N/A</v>
        <stp/>
        <stp>BDH|12234302899264229659</stp>
        <tr r="E12" s="3"/>
      </tp>
      <tp t="s">
        <v>#N/A N/A</v>
        <stp/>
        <stp>BDH|16986521912868197045</stp>
        <tr r="I70" s="3"/>
      </tp>
      <tp t="s">
        <v>#N/A N/A</v>
        <stp/>
        <stp>BDH|12552073463726990844</stp>
        <tr r="P18" s="3"/>
      </tp>
      <tp t="s">
        <v>#N/A N/A</v>
        <stp/>
        <stp>BDH|17377935249149641934</stp>
        <tr r="F29" s="2"/>
      </tp>
      <tp t="s">
        <v>#N/A N/A</v>
        <stp/>
        <stp>BDH|10748145785396807520</stp>
        <tr r="L65" s="3"/>
      </tp>
      <tp t="s">
        <v>#N/A N/A</v>
        <stp/>
        <stp>BDH|18314032939410519106</stp>
        <tr r="Q19" s="3"/>
      </tp>
      <tp t="s">
        <v>#N/A N/A</v>
        <stp/>
        <stp>BDH|11808812990028708227</stp>
        <tr r="S25" s="2"/>
      </tp>
      <tp t="s">
        <v>#N/A N/A</v>
        <stp/>
        <stp>BDH|14614615714838421184</stp>
        <tr r="W57" s="2"/>
      </tp>
      <tp t="s">
        <v>#N/A N/A</v>
        <stp/>
        <stp>BDH|12084598485035122020</stp>
        <tr r="M62" s="3"/>
      </tp>
      <tp t="s">
        <v>#N/A N/A</v>
        <stp/>
        <stp>BDH|12700592386253204656</stp>
        <tr r="E60" s="3"/>
      </tp>
      <tp t="s">
        <v>#N/A N/A</v>
        <stp/>
        <stp>BDH|12556346878089659503</stp>
        <tr r="X14" s="3"/>
      </tp>
      <tp t="s">
        <v>#N/A N/A</v>
        <stp/>
        <stp>BDH|15004655888488512975</stp>
        <tr r="J74" s="3"/>
      </tp>
      <tp t="s">
        <v>#N/A N/A</v>
        <stp/>
        <stp>BDH|16899117721499321657</stp>
        <tr r="Q31" s="4"/>
      </tp>
      <tp t="s">
        <v>#N/A N/A</v>
        <stp/>
        <stp>BDH|16448813996368808550</stp>
        <tr r="I60" s="4"/>
      </tp>
      <tp t="s">
        <v>#N/A N/A</v>
        <stp/>
        <stp>BDH|15019158974381805981</stp>
        <tr r="F56" s="2"/>
      </tp>
      <tp t="s">
        <v>#N/A N/A</v>
        <stp/>
        <stp>BDH|13463223883956751433</stp>
        <tr r="W31" s="4"/>
      </tp>
      <tp t="s">
        <v>#N/A N/A</v>
        <stp/>
        <stp>BDH|11061864235372191332</stp>
        <tr r="S43" s="3"/>
      </tp>
      <tp t="s">
        <v>#N/A N/A</v>
        <stp/>
        <stp>BDH|14545885918993530511</stp>
        <tr r="Q30" s="3"/>
      </tp>
      <tp t="s">
        <v>#N/A N/A</v>
        <stp/>
        <stp>BDH|12317132126963652913</stp>
        <tr r="Y26" s="3"/>
      </tp>
      <tp t="s">
        <v>#N/A N/A</v>
        <stp/>
        <stp>BDH|13665201480030358240</stp>
        <tr r="F84" s="3"/>
      </tp>
      <tp t="s">
        <v>#N/A N/A</v>
        <stp/>
        <stp>BDH|18142895799804103618</stp>
        <tr r="M18" s="3"/>
      </tp>
      <tp t="s">
        <v>#N/A N/A</v>
        <stp/>
        <stp>BDH|12309910360951111728</stp>
        <tr r="G10" s="3"/>
      </tp>
      <tp t="s">
        <v>#N/A N/A</v>
        <stp/>
        <stp>BDH|14552704782857390750</stp>
        <tr r="Y54" s="3"/>
      </tp>
      <tp t="s">
        <v>#N/A N/A</v>
        <stp/>
        <stp>BDH|12600959395830589932</stp>
        <tr r="E33" s="4"/>
      </tp>
      <tp t="s">
        <v>#N/A N/A</v>
        <stp/>
        <stp>BDH|13924882966106196060</stp>
        <tr r="F20" s="2"/>
      </tp>
      <tp t="s">
        <v>#N/A N/A</v>
        <stp/>
        <stp>BDH|13418235863899156555</stp>
        <tr r="F23" s="2"/>
      </tp>
      <tp t="s">
        <v>#N/A N/A</v>
        <stp/>
        <stp>BDH|10105176093104582703</stp>
        <tr r="K52" s="3"/>
      </tp>
      <tp t="s">
        <v>#N/A N/A</v>
        <stp/>
        <stp>BDH|14047909071727110608</stp>
        <tr r="V34" s="2"/>
      </tp>
      <tp t="s">
        <v>#N/A N/A</v>
        <stp/>
        <stp>BDH|10731653250469421164</stp>
        <tr r="S51" s="3"/>
      </tp>
      <tp t="s">
        <v>#N/A N/A</v>
        <stp/>
        <stp>BDH|11885579710246665897</stp>
        <tr r="L41" s="4"/>
      </tp>
      <tp t="s">
        <v>#N/A N/A</v>
        <stp/>
        <stp>BDH|14405437595875065728</stp>
        <tr r="T49" s="4"/>
      </tp>
      <tp t="s">
        <v>#N/A N/A</v>
        <stp/>
        <stp>BDH|17478596631378406282</stp>
        <tr r="D28" s="2"/>
      </tp>
      <tp t="s">
        <v>#N/A N/A</v>
        <stp/>
        <stp>BDH|12146044949614811941</stp>
        <tr r="V48" s="4"/>
      </tp>
      <tp t="s">
        <v>#N/A N/A</v>
        <stp/>
        <stp>BDH|14675946800046158032</stp>
        <tr r="D71" s="3"/>
      </tp>
      <tp t="s">
        <v>#N/A N/A</v>
        <stp/>
        <stp>BDH|13339279478884525996</stp>
        <tr r="W29" s="4"/>
      </tp>
      <tp t="s">
        <v>#N/A N/A</v>
        <stp/>
        <stp>BDH|12487376891271258231</stp>
        <tr r="J52" s="4"/>
      </tp>
      <tp t="s">
        <v>#N/A N/A</v>
        <stp/>
        <stp>BDH|13119625370331681861</stp>
        <tr r="M33" s="4"/>
      </tp>
      <tp t="s">
        <v>#N/A N/A</v>
        <stp/>
        <stp>BDH|15240490099300583342</stp>
        <tr r="F50" s="4"/>
      </tp>
      <tp t="s">
        <v>#N/A N/A</v>
        <stp/>
        <stp>BDH|14145645125362159920</stp>
        <tr r="E65" s="3"/>
      </tp>
      <tp t="s">
        <v>#N/A N/A</v>
        <stp/>
        <stp>BDH|15167251751259032061</stp>
        <tr r="W28" s="3"/>
      </tp>
      <tp t="s">
        <v>#N/A N/A</v>
        <stp/>
        <stp>BDH|12267823172722394431</stp>
        <tr r="G57" s="2"/>
      </tp>
      <tp t="s">
        <v>#N/A N/A</v>
        <stp/>
        <stp>BDH|12522565488451090590</stp>
        <tr r="R37" s="2"/>
      </tp>
      <tp t="s">
        <v>#N/A N/A</v>
        <stp/>
        <stp>BDH|11417857477962730731</stp>
        <tr r="O25" s="4"/>
      </tp>
      <tp t="s">
        <v>#N/A N/A</v>
        <stp/>
        <stp>BDH|16692629259518781680</stp>
        <tr r="T30" s="4"/>
      </tp>
      <tp t="s">
        <v>#N/A N/A</v>
        <stp/>
        <stp>BDH|15627463430170560975</stp>
        <tr r="W38" s="3"/>
      </tp>
      <tp t="s">
        <v>#N/A N/A</v>
        <stp/>
        <stp>BDH|12363941426671401373</stp>
        <tr r="Y62" s="2"/>
      </tp>
      <tp t="s">
        <v>#N/A N/A</v>
        <stp/>
        <stp>BDH|16451923027595326306</stp>
        <tr r="J42" s="2"/>
      </tp>
      <tp t="s">
        <v>#N/A N/A</v>
        <stp/>
        <stp>BDH|10357938875214721177</stp>
        <tr r="S10" s="4"/>
      </tp>
      <tp t="s">
        <v>#N/A N/A</v>
        <stp/>
        <stp>BDH|11598496766000924867</stp>
        <tr r="J8" s="4"/>
      </tp>
      <tp t="s">
        <v>#N/A N/A</v>
        <stp/>
        <stp>BDH|16700638866965235858</stp>
        <tr r="I10" s="2"/>
      </tp>
      <tp t="s">
        <v>#N/A N/A</v>
        <stp/>
        <stp>BDH|14816810530037896346</stp>
        <tr r="P10" s="4"/>
      </tp>
      <tp t="s">
        <v>#N/A N/A</v>
        <stp/>
        <stp>BDH|18254713955664677555</stp>
        <tr r="Q48" s="3"/>
      </tp>
      <tp t="s">
        <v>#N/A N/A</v>
        <stp/>
        <stp>BDH|18419025773612737671</stp>
        <tr r="R42" s="2"/>
      </tp>
      <tp t="s">
        <v>#N/A N/A</v>
        <stp/>
        <stp>BDH|11914137880737959463</stp>
        <tr r="L25" s="2"/>
      </tp>
      <tp t="s">
        <v>#N/A N/A</v>
        <stp/>
        <stp>BDH|13184143670967926997</stp>
        <tr r="W42" s="2"/>
      </tp>
      <tp t="s">
        <v>#N/A N/A</v>
        <stp/>
        <stp>BDH|14441369110088088573</stp>
        <tr r="G17" s="3"/>
      </tp>
      <tp t="s">
        <v>#N/A N/A</v>
        <stp/>
        <stp>BDH|15644618297291223079</stp>
        <tr r="J8" s="2"/>
      </tp>
      <tp t="s">
        <v>#N/A N/A</v>
        <stp/>
        <stp>BDH|18411311171045339227</stp>
        <tr r="L42" s="4"/>
      </tp>
      <tp t="s">
        <v>#N/A N/A</v>
        <stp/>
        <stp>BDH|18038373744300509437</stp>
        <tr r="Q6" s="2"/>
      </tp>
      <tp t="s">
        <v>#N/A N/A</v>
        <stp/>
        <stp>BDH|17833924329566492131</stp>
        <tr r="L34" s="3"/>
      </tp>
      <tp t="s">
        <v>#N/A N/A</v>
        <stp/>
        <stp>BDH|17330298918879189675</stp>
        <tr r="Q13" s="2"/>
      </tp>
      <tp t="s">
        <v>#N/A N/A</v>
        <stp/>
        <stp>BDH|10080840547534600310</stp>
        <tr r="H12" s="2"/>
      </tp>
      <tp t="s">
        <v>#N/A N/A</v>
        <stp/>
        <stp>BDH|16384864614077497319</stp>
        <tr r="V30" s="2"/>
      </tp>
      <tp t="s">
        <v>#N/A N/A</v>
        <stp/>
        <stp>BDH|15322073657702420937</stp>
        <tr r="T46" s="3"/>
      </tp>
      <tp t="s">
        <v>#N/A N/A</v>
        <stp/>
        <stp>BDH|15360811058581800265</stp>
        <tr r="Y30" s="4"/>
      </tp>
      <tp t="s">
        <v>#N/A N/A</v>
        <stp/>
        <stp>BDH|13292834478802452594</stp>
        <tr r="L86" s="3"/>
      </tp>
      <tp t="s">
        <v>#N/A N/A</v>
        <stp/>
        <stp>BDH|12802111186896123693</stp>
        <tr r="M9" s="2"/>
      </tp>
      <tp t="s">
        <v>#N/A N/A</v>
        <stp/>
        <stp>BDH|11719855401086408409</stp>
        <tr r="G67" s="2"/>
      </tp>
      <tp t="s">
        <v>#N/A N/A</v>
        <stp/>
        <stp>BDH|14190635665088994798</stp>
        <tr r="X18" s="2"/>
      </tp>
      <tp t="s">
        <v>#N/A N/A</v>
        <stp/>
        <stp>BDH|11152956351862112437</stp>
        <tr r="M13" s="3"/>
      </tp>
      <tp t="s">
        <v>#N/A N/A</v>
        <stp/>
        <stp>BDH|15445956407715102203</stp>
        <tr r="M15" s="4"/>
      </tp>
      <tp t="s">
        <v>#N/A N/A</v>
        <stp/>
        <stp>BDH|12945747406909986749</stp>
        <tr r="N25" s="3"/>
      </tp>
      <tp t="s">
        <v>#N/A N/A</v>
        <stp/>
        <stp>BDH|16890683068214772996</stp>
        <tr r="L14" s="2"/>
      </tp>
      <tp t="s">
        <v>#N/A N/A</v>
        <stp/>
        <stp>BDH|15368726788519955868</stp>
        <tr r="T35" s="3"/>
      </tp>
      <tp t="s">
        <v>#N/A N/A</v>
        <stp/>
        <stp>BDH|17624683588862902094</stp>
        <tr r="K31" s="3"/>
      </tp>
      <tp t="s">
        <v>#N/A N/A</v>
        <stp/>
        <stp>BDH|10630703711528994581</stp>
        <tr r="Y50" s="3"/>
      </tp>
      <tp t="s">
        <v>#N/A N/A</v>
        <stp/>
        <stp>BDH|11917225786423852339</stp>
        <tr r="Z58" s="4"/>
      </tp>
      <tp t="s">
        <v>#N/A N/A</v>
        <stp/>
        <stp>BDH|13624556469959587296</stp>
        <tr r="Q57" s="2"/>
      </tp>
      <tp t="s">
        <v>#N/A N/A</v>
        <stp/>
        <stp>BDH|14082970843047109539</stp>
        <tr r="R30" s="2"/>
      </tp>
      <tp t="s">
        <v>#N/A N/A</v>
        <stp/>
        <stp>BDH|10493908049225878333</stp>
        <tr r="W72" s="2"/>
      </tp>
      <tp t="s">
        <v>#N/A N/A</v>
        <stp/>
        <stp>BDH|17525821461522704071</stp>
        <tr r="Y34" s="2"/>
      </tp>
      <tp t="s">
        <v>#N/A N/A</v>
        <stp/>
        <stp>BDH|17556949741966034761</stp>
        <tr r="L31" s="4"/>
      </tp>
      <tp t="s">
        <v>#N/A N/A</v>
        <stp/>
        <stp>BDH|10902202288170474131</stp>
        <tr r="I61" s="3"/>
      </tp>
      <tp t="s">
        <v>#N/A N/A</v>
        <stp/>
        <stp>BDH|12178718575720948954</stp>
        <tr r="K69" s="3"/>
      </tp>
      <tp t="s">
        <v>#N/A N/A</v>
        <stp/>
        <stp>BDH|12868619488901133698</stp>
        <tr r="E10" s="3"/>
      </tp>
      <tp t="s">
        <v>#N/A N/A</v>
        <stp/>
        <stp>BDH|17090348803387960875</stp>
        <tr r="R11" s="2"/>
      </tp>
      <tp t="s">
        <v>#N/A N/A</v>
        <stp/>
        <stp>BDH|13106924737237992556</stp>
        <tr r="O24" s="3"/>
      </tp>
      <tp t="s">
        <v>#N/A N/A</v>
        <stp/>
        <stp>BDH|12000425921879902625</stp>
        <tr r="R60" s="4"/>
      </tp>
      <tp t="s">
        <v>#N/A N/A</v>
        <stp/>
        <stp>BDH|13952113901669663071</stp>
        <tr r="U30" s="2"/>
      </tp>
      <tp t="s">
        <v>#N/A N/A</v>
        <stp/>
        <stp>BDH|14269491717858146262</stp>
        <tr r="D84" s="3"/>
      </tp>
      <tp t="s">
        <v>#N/A N/A</v>
        <stp/>
        <stp>BDH|11462325193322871268</stp>
        <tr r="N52" s="3"/>
      </tp>
      <tp t="s">
        <v>#N/A N/A</v>
        <stp/>
        <stp>BDH|18197532782169263791</stp>
        <tr r="K16" s="3"/>
      </tp>
      <tp t="s">
        <v>#N/A N/A</v>
        <stp/>
        <stp>BDH|18383427615980965663</stp>
        <tr r="Z50" s="2"/>
      </tp>
      <tp t="s">
        <v>#N/A N/A</v>
        <stp/>
        <stp>BDH|14188499784550603313</stp>
        <tr r="C37" s="2"/>
      </tp>
      <tp t="s">
        <v>#N/A N/A</v>
        <stp/>
        <stp>BDH|14984917022993928782</stp>
        <tr r="J63" s="2"/>
      </tp>
      <tp t="s">
        <v>#N/A N/A</v>
        <stp/>
        <stp>BDH|14710284453969510129</stp>
        <tr r="Z70" s="3"/>
      </tp>
      <tp t="s">
        <v>#N/A N/A</v>
        <stp/>
        <stp>BDH|11367798685093535606</stp>
        <tr r="O49" s="2"/>
      </tp>
      <tp t="s">
        <v>#N/A N/A</v>
        <stp/>
        <stp>BDH|14428989266836253629</stp>
        <tr r="X35" s="3"/>
      </tp>
      <tp t="s">
        <v>#N/A N/A</v>
        <stp/>
        <stp>BDH|14697640703008915127</stp>
        <tr r="U56" s="2"/>
      </tp>
      <tp t="s">
        <v>#N/A N/A</v>
        <stp/>
        <stp>BDH|14116505072228085592</stp>
        <tr r="N28" s="2"/>
      </tp>
      <tp t="s">
        <v>#N/A N/A</v>
        <stp/>
        <stp>BDH|12868281577754874854</stp>
        <tr r="G41" s="2"/>
      </tp>
      <tp t="s">
        <v>#N/A N/A</v>
        <stp/>
        <stp>BDH|18246346072960884760</stp>
        <tr r="N68" s="3"/>
      </tp>
      <tp t="s">
        <v>#N/A N/A</v>
        <stp/>
        <stp>BDH|12560867713105949535</stp>
        <tr r="R84" s="3"/>
      </tp>
      <tp t="s">
        <v>#N/A N/A</v>
        <stp/>
        <stp>BDH|18421289105604791543</stp>
        <tr r="X23" s="2"/>
      </tp>
      <tp t="s">
        <v>#N/A N/A</v>
        <stp/>
        <stp>BDH|16656234867778019181</stp>
        <tr r="R10" s="3"/>
      </tp>
      <tp t="s">
        <v>#N/A N/A</v>
        <stp/>
        <stp>BDH|13221085344769740531</stp>
        <tr r="O7" s="4"/>
      </tp>
      <tp t="s">
        <v>#N/A N/A</v>
        <stp/>
        <stp>BDH|12480333414342142989</stp>
        <tr r="F22" s="3"/>
      </tp>
      <tp t="s">
        <v>#N/A N/A</v>
        <stp/>
        <stp>BDH|17912339823654257966</stp>
        <tr r="O54" s="4"/>
      </tp>
      <tp t="s">
        <v>#N/A N/A</v>
        <stp/>
        <stp>BDH|18257448219437435168</stp>
        <tr r="J17" s="2"/>
      </tp>
      <tp t="s">
        <v>#N/A N/A</v>
        <stp/>
        <stp>BDH|13289722905829173694</stp>
        <tr r="Y34" s="4"/>
      </tp>
      <tp t="s">
        <v>#N/A N/A</v>
        <stp/>
        <stp>BDH|12779445486536917311</stp>
        <tr r="J90" s="3"/>
      </tp>
      <tp t="s">
        <v>#N/A N/A</v>
        <stp/>
        <stp>BDH|14427181265551133951</stp>
        <tr r="Z25" s="4"/>
      </tp>
      <tp t="s">
        <v>#N/A N/A</v>
        <stp/>
        <stp>BDH|10261826587899995229</stp>
        <tr r="N30" s="3"/>
      </tp>
      <tp t="s">
        <v>#N/A N/A</v>
        <stp/>
        <stp>BDH|17963164482652128709</stp>
        <tr r="G73" s="3"/>
      </tp>
      <tp t="s">
        <v>#N/A N/A</v>
        <stp/>
        <stp>BDH|12296201189447798409</stp>
        <tr r="R37" s="4"/>
      </tp>
      <tp t="s">
        <v>#N/A N/A</v>
        <stp/>
        <stp>BDH|10422686545298103140</stp>
        <tr r="N61" s="3"/>
      </tp>
      <tp t="s">
        <v>#N/A N/A</v>
        <stp/>
        <stp>BDH|18052183803233550127</stp>
        <tr r="E22" s="4"/>
      </tp>
      <tp t="s">
        <v>#N/A N/A</v>
        <stp/>
        <stp>BDH|16650387922819789574</stp>
        <tr r="Z9" s="3"/>
      </tp>
      <tp t="s">
        <v>#N/A N/A</v>
        <stp/>
        <stp>BDH|14493417132088054081</stp>
        <tr r="N39" s="3"/>
      </tp>
      <tp t="s">
        <v>#N/A N/A</v>
        <stp/>
        <stp>BDH|16516725826358771099</stp>
        <tr r="E21" s="3"/>
      </tp>
      <tp t="s">
        <v>#N/A N/A</v>
        <stp/>
        <stp>BDH|13486675498780415703</stp>
        <tr r="I38" s="2"/>
      </tp>
      <tp t="s">
        <v>#N/A N/A</v>
        <stp/>
        <stp>BDH|16323058710549863516</stp>
        <tr r="T20" s="2"/>
      </tp>
      <tp t="s">
        <v>#N/A N/A</v>
        <stp/>
        <stp>BDH|14097225283504812166</stp>
        <tr r="W60" s="4"/>
      </tp>
      <tp t="s">
        <v>#N/A N/A</v>
        <stp/>
        <stp>BDH|11117177484770847358</stp>
        <tr r="N44" s="4"/>
      </tp>
      <tp t="s">
        <v>#N/A N/A</v>
        <stp/>
        <stp>BDH|10234966839582280309</stp>
        <tr r="Z15" s="2"/>
      </tp>
      <tp t="s">
        <v>#N/A N/A</v>
        <stp/>
        <stp>BDH|11009540646799868249</stp>
        <tr r="S15" s="4"/>
      </tp>
      <tp t="s">
        <v>#N/A N/A</v>
        <stp/>
        <stp>BDH|14913206038807734983</stp>
        <tr r="R14" s="3"/>
      </tp>
      <tp t="s">
        <v>#N/A N/A</v>
        <stp/>
        <stp>BDH|18428616827535976255</stp>
        <tr r="V78" s="3"/>
      </tp>
      <tp t="s">
        <v>#N/A N/A</v>
        <stp/>
        <stp>BDH|18207077435262749293</stp>
        <tr r="U14" s="2"/>
      </tp>
      <tp t="s">
        <v>#N/A N/A</v>
        <stp/>
        <stp>BDH|12512920049355573154</stp>
        <tr r="V64" s="2"/>
      </tp>
      <tp t="s">
        <v>#N/A N/A</v>
        <stp/>
        <stp>BDH|12600780695347566004</stp>
        <tr r="F54" s="4"/>
      </tp>
      <tp t="s">
        <v>#N/A N/A</v>
        <stp/>
        <stp>BDH|11116338898473782332</stp>
        <tr r="H50" s="3"/>
      </tp>
      <tp t="s">
        <v>#N/A N/A</v>
        <stp/>
        <stp>BDH|18067265790918967019</stp>
        <tr r="Z16" s="4"/>
      </tp>
      <tp t="s">
        <v>#N/A N/A</v>
        <stp/>
        <stp>BDH|14773885331003893471</stp>
        <tr r="H72" s="3"/>
      </tp>
      <tp t="s">
        <v>#N/A N/A</v>
        <stp/>
        <stp>BDH|14322910021864773352</stp>
        <tr r="X67" s="2"/>
      </tp>
      <tp t="s">
        <v>#N/A N/A</v>
        <stp/>
        <stp>BDH|12081977212770224266</stp>
        <tr r="Y74" s="3"/>
      </tp>
      <tp t="s">
        <v>#N/A N/A</v>
        <stp/>
        <stp>BDH|16870885234144659133</stp>
        <tr r="F76" s="3"/>
      </tp>
      <tp t="s">
        <v>#N/A N/A</v>
        <stp/>
        <stp>BDH|13864496043339349202</stp>
        <tr r="U42" s="3"/>
      </tp>
      <tp t="s">
        <v>#N/A N/A</v>
        <stp/>
        <stp>BDH|14681977203254014127</stp>
        <tr r="W54" s="3"/>
      </tp>
      <tp t="s">
        <v>#N/A N/A</v>
        <stp/>
        <stp>BDH|14020239667138020041</stp>
        <tr r="N47" s="3"/>
      </tp>
      <tp t="s">
        <v>#N/A N/A</v>
        <stp/>
        <stp>BDH|16270152541953152871</stp>
        <tr r="R48" s="3"/>
      </tp>
      <tp t="s">
        <v>#N/A N/A</v>
        <stp/>
        <stp>BDH|15065979044765125528</stp>
        <tr r="E50" s="3"/>
      </tp>
      <tp t="s">
        <v>#N/A N/A</v>
        <stp/>
        <stp>BDH|12073364284180521177</stp>
        <tr r="O15" s="4"/>
      </tp>
      <tp t="s">
        <v>#N/A N/A</v>
        <stp/>
        <stp>BDH|13330350156348822585</stp>
        <tr r="K30" s="2"/>
      </tp>
      <tp t="s">
        <v>#N/A N/A</v>
        <stp/>
        <stp>BDH|17445726597673449256</stp>
        <tr r="J77" s="3"/>
      </tp>
      <tp t="s">
        <v>#N/A N/A</v>
        <stp/>
        <stp>BDH|11991890433133452179</stp>
        <tr r="L33" s="2"/>
      </tp>
      <tp t="s">
        <v>#N/A N/A</v>
        <stp/>
        <stp>BDH|18178063223651324349</stp>
        <tr r="S45" s="4"/>
      </tp>
      <tp t="s">
        <v>#N/A N/A</v>
        <stp/>
        <stp>BDH|15829825840372087393</stp>
        <tr r="M30" s="3"/>
      </tp>
      <tp t="s">
        <v>#N/A N/A</v>
        <stp/>
        <stp>BDH|12935298644004726804</stp>
        <tr r="H37" s="4"/>
      </tp>
      <tp t="s">
        <v>#N/A N/A</v>
        <stp/>
        <stp>BDH|18102746953380513208</stp>
        <tr r="U68" s="2"/>
      </tp>
      <tp t="s">
        <v>#N/A N/A</v>
        <stp/>
        <stp>BDH|11285877283129376065</stp>
        <tr r="Z65" s="2"/>
      </tp>
      <tp t="s">
        <v>#N/A N/A</v>
        <stp/>
        <stp>BDH|17148121384062029445</stp>
        <tr r="U66" s="2"/>
      </tp>
      <tp t="s">
        <v>#N/A N/A</v>
        <stp/>
        <stp>BDH|12054117477058365464</stp>
        <tr r="C43" s="3"/>
      </tp>
      <tp t="s">
        <v>#N/A N/A</v>
        <stp/>
        <stp>BDH|16855206983432928613</stp>
        <tr r="T11" s="3"/>
      </tp>
      <tp t="s">
        <v>#N/A N/A</v>
        <stp/>
        <stp>BDH|16635802215202735575</stp>
        <tr r="H59" s="3"/>
      </tp>
      <tp t="s">
        <v>#N/A N/A</v>
        <stp/>
        <stp>BDH|10828488907459664533</stp>
        <tr r="U69" s="3"/>
      </tp>
      <tp t="s">
        <v>#N/A N/A</v>
        <stp/>
        <stp>BDH|11671708859879447299</stp>
        <tr r="Y20" s="2"/>
      </tp>
      <tp t="s">
        <v>#N/A N/A</v>
        <stp/>
        <stp>BDH|15033178987021278506</stp>
        <tr r="F58" s="3"/>
      </tp>
      <tp t="s">
        <v>#N/A N/A</v>
        <stp/>
        <stp>BDH|17095472562819491433</stp>
        <tr r="W24" s="3"/>
      </tp>
      <tp t="s">
        <v>#N/A N/A</v>
        <stp/>
        <stp>BDH|17591543096407456413</stp>
        <tr r="H26" s="4"/>
      </tp>
      <tp t="s">
        <v>#N/A N/A</v>
        <stp/>
        <stp>BDH|10056177454919759561</stp>
        <tr r="U94" s="3"/>
      </tp>
      <tp t="s">
        <v>#N/A N/A</v>
        <stp/>
        <stp>BDH|15179354281585383341</stp>
        <tr r="Z15" s="4"/>
      </tp>
      <tp t="s">
        <v>#N/A N/A</v>
        <stp/>
        <stp>BDH|14759511604881435841</stp>
        <tr r="U19" s="2"/>
      </tp>
      <tp t="s">
        <v>#N/A N/A</v>
        <stp/>
        <stp>BDH|14331821344113664319</stp>
        <tr r="U14" s="3"/>
      </tp>
      <tp t="s">
        <v>#N/A N/A</v>
        <stp/>
        <stp>BDH|14293852243357000768</stp>
        <tr r="S64" s="4"/>
      </tp>
      <tp t="s">
        <v>#N/A N/A</v>
        <stp/>
        <stp>BDH|12356956839194552480</stp>
        <tr r="R21" s="3"/>
      </tp>
      <tp t="s">
        <v>#N/A N/A</v>
        <stp/>
        <stp>BDH|13717574947042365866</stp>
        <tr r="G42" s="3"/>
      </tp>
      <tp t="s">
        <v>#N/A N/A</v>
        <stp/>
        <stp>BDH|14260981769610909384</stp>
        <tr r="V43" s="2"/>
      </tp>
      <tp t="s">
        <v>#N/A N/A</v>
        <stp/>
        <stp>BDH|16415533414932190806</stp>
        <tr r="H23" s="2"/>
      </tp>
      <tp t="s">
        <v>#N/A N/A</v>
        <stp/>
        <stp>BDH|16440897551666991507</stp>
        <tr r="S55" s="3"/>
      </tp>
      <tp t="s">
        <v>#N/A N/A</v>
        <stp/>
        <stp>BDH|15003282023878728591</stp>
        <tr r="F16" s="3"/>
      </tp>
      <tp t="s">
        <v>#N/A N/A</v>
        <stp/>
        <stp>BDH|13598449994191464745</stp>
        <tr r="S48" s="4"/>
      </tp>
      <tp t="s">
        <v>#N/A N/A</v>
        <stp/>
        <stp>BDH|12992606927077383983</stp>
        <tr r="O69" s="3"/>
      </tp>
      <tp t="s">
        <v>#N/A N/A</v>
        <stp/>
        <stp>BDH|11690802975525121378</stp>
        <tr r="U23" s="3"/>
      </tp>
      <tp t="s">
        <v>#N/A N/A</v>
        <stp/>
        <stp>BDH|15332556150955455863</stp>
        <tr r="V92" s="3"/>
      </tp>
      <tp t="s">
        <v>#N/A N/A</v>
        <stp/>
        <stp>BDH|13261988209702069076</stp>
        <tr r="M39" s="3"/>
      </tp>
      <tp t="s">
        <v>#N/A N/A</v>
        <stp/>
        <stp>BDH|12495927152310647666</stp>
        <tr r="Y32" s="4"/>
      </tp>
      <tp t="s">
        <v>#N/A N/A</v>
        <stp/>
        <stp>BDH|15510378712046670923</stp>
        <tr r="K9" s="3"/>
      </tp>
      <tp t="s">
        <v>#N/A N/A</v>
        <stp/>
        <stp>BDH|11948795667248688058</stp>
        <tr r="P33" s="3"/>
      </tp>
      <tp t="s">
        <v>#N/A N/A</v>
        <stp/>
        <stp>BDH|14645688862884142897</stp>
        <tr r="S46" s="4"/>
      </tp>
      <tp t="s">
        <v>#N/A N/A</v>
        <stp/>
        <stp>BDH|10142717986316213104</stp>
        <tr r="T21" s="4"/>
      </tp>
      <tp t="s">
        <v>#N/A N/A</v>
        <stp/>
        <stp>BDH|13509914712105892692</stp>
        <tr r="M51" s="3"/>
      </tp>
      <tp t="s">
        <v>#N/A N/A</v>
        <stp/>
        <stp>BDH|17134007696724445249</stp>
        <tr r="P88" s="3"/>
      </tp>
      <tp t="s">
        <v>#N/A N/A</v>
        <stp/>
        <stp>BDH|13324782137586980921</stp>
        <tr r="I35" s="4"/>
      </tp>
      <tp t="s">
        <v>#N/A N/A</v>
        <stp/>
        <stp>BDH|17800254487702500780</stp>
        <tr r="J49" s="4"/>
      </tp>
      <tp t="s">
        <v>#N/A N/A</v>
        <stp/>
        <stp>BDH|11196834382931287846</stp>
        <tr r="H62" s="4"/>
      </tp>
      <tp t="s">
        <v>#N/A N/A</v>
        <stp/>
        <stp>BDH|14097138061393499802</stp>
        <tr r="N67" s="3"/>
      </tp>
      <tp t="s">
        <v>#N/A N/A</v>
        <stp/>
        <stp>BDH|18195761181458321739</stp>
        <tr r="K12" s="3"/>
      </tp>
      <tp t="s">
        <v>#N/A N/A</v>
        <stp/>
        <stp>BDH|11194994443316500288</stp>
        <tr r="F22" s="4"/>
      </tp>
      <tp t="s">
        <v>#N/A N/A</v>
        <stp/>
        <stp>BDH|12425460274568950194</stp>
        <tr r="R51" s="2"/>
      </tp>
      <tp t="s">
        <v>#N/A N/A</v>
        <stp/>
        <stp>BDH|12671404895121124645</stp>
        <tr r="F44" s="3"/>
      </tp>
      <tp t="s">
        <v>#N/A N/A</v>
        <stp/>
        <stp>BDH|13487184770668289587</stp>
        <tr r="K63" s="4"/>
      </tp>
      <tp t="s">
        <v>#N/A N/A</v>
        <stp/>
        <stp>BDH|18009766384809099642</stp>
        <tr r="X47" s="3"/>
      </tp>
      <tp t="s">
        <v>#N/A N/A</v>
        <stp/>
        <stp>BDH|15352283117608201685</stp>
        <tr r="J41" s="4"/>
      </tp>
      <tp t="s">
        <v>#N/A N/A</v>
        <stp/>
        <stp>BDH|13012990838534084578</stp>
        <tr r="R30" s="4"/>
      </tp>
      <tp t="s">
        <v>#N/A N/A</v>
        <stp/>
        <stp>BDH|11783130986961834139</stp>
        <tr r="N40" s="2"/>
      </tp>
      <tp t="s">
        <v>#N/A N/A</v>
        <stp/>
        <stp>BDH|12517572641953836825</stp>
        <tr r="G25" s="3"/>
      </tp>
      <tp t="s">
        <v>#N/A N/A</v>
        <stp/>
        <stp>BDH|13223115802698086288</stp>
        <tr r="D32" s="4"/>
      </tp>
      <tp t="s">
        <v>#N/A N/A</v>
        <stp/>
        <stp>BDH|16843220996550296578</stp>
        <tr r="W52" s="2"/>
      </tp>
      <tp t="s">
        <v>#N/A N/A</v>
        <stp/>
        <stp>BDH|16976564562328068541</stp>
        <tr r="R52" s="3"/>
      </tp>
      <tp t="s">
        <v>#N/A N/A</v>
        <stp/>
        <stp>BDH|18246291647794142241</stp>
        <tr r="Q85" s="3"/>
      </tp>
      <tp t="s">
        <v>#N/A N/A</v>
        <stp/>
        <stp>BDH|11609529722066685888</stp>
        <tr r="J65" s="4"/>
      </tp>
      <tp t="s">
        <v>#N/A N/A</v>
        <stp/>
        <stp>BDH|16370774279598796626</stp>
        <tr r="E67" s="3"/>
      </tp>
      <tp t="s">
        <v>#N/A N/A</v>
        <stp/>
        <stp>BDH|17883181698694633365</stp>
        <tr r="K40" s="3"/>
      </tp>
      <tp t="s">
        <v>#N/A N/A</v>
        <stp/>
        <stp>BDH|16918620912948717160</stp>
        <tr r="O38" s="2"/>
      </tp>
      <tp t="s">
        <v>#N/A N/A</v>
        <stp/>
        <stp>BDH|13058579724825331989</stp>
        <tr r="N14" s="4"/>
      </tp>
      <tp t="s">
        <v>#N/A N/A</v>
        <stp/>
        <stp>BDH|17185477898361576339</stp>
        <tr r="F58" s="4"/>
      </tp>
      <tp t="s">
        <v>#N/A N/A</v>
        <stp/>
        <stp>BDH|16310312377092460897</stp>
        <tr r="S31" s="2"/>
      </tp>
      <tp t="s">
        <v>#N/A N/A</v>
        <stp/>
        <stp>BDH|10929467092670607532</stp>
        <tr r="P13" s="2"/>
      </tp>
      <tp t="s">
        <v>#N/A N/A</v>
        <stp/>
        <stp>BDH|18034659452561672298</stp>
        <tr r="E31" s="4"/>
      </tp>
      <tp t="s">
        <v>#N/A N/A</v>
        <stp/>
        <stp>BDH|15230531735222804947</stp>
        <tr r="R42" s="3"/>
      </tp>
      <tp t="s">
        <v>#N/A N/A</v>
        <stp/>
        <stp>BDH|10115398921998647170</stp>
        <tr r="T14" s="3"/>
      </tp>
      <tp t="s">
        <v>#N/A N/A</v>
        <stp/>
        <stp>BDH|11329937279890107736</stp>
        <tr r="R19" s="3"/>
      </tp>
      <tp t="s">
        <v>#N/A N/A</v>
        <stp/>
        <stp>BDH|13229951769975640134</stp>
        <tr r="K29" s="3"/>
      </tp>
      <tp t="s">
        <v>#N/A N/A</v>
        <stp/>
        <stp>BDH|13249735759809660057</stp>
        <tr r="J86" s="3"/>
      </tp>
      <tp t="s">
        <v>#N/A N/A</v>
        <stp/>
        <stp>BDH|12898158662515749838</stp>
        <tr r="I30" s="2"/>
      </tp>
      <tp t="s">
        <v>#N/A N/A</v>
        <stp/>
        <stp>BDH|13326499043593412861</stp>
        <tr r="J75" s="3"/>
      </tp>
      <tp t="s">
        <v>#N/A N/A</v>
        <stp/>
        <stp>BDH|14985659649118857665</stp>
        <tr r="U16" s="4"/>
      </tp>
      <tp t="s">
        <v>#N/A N/A</v>
        <stp/>
        <stp>BDH|10812337697444552621</stp>
        <tr r="J68" s="2"/>
      </tp>
      <tp t="s">
        <v>#N/A N/A</v>
        <stp/>
        <stp>BDH|18317404583468985432</stp>
        <tr r="S88" s="3"/>
      </tp>
      <tp t="s">
        <v>#N/A N/A</v>
        <stp/>
        <stp>BDH|15486813001946792390</stp>
        <tr r="V77" s="3"/>
      </tp>
      <tp t="s">
        <v>#N/A N/A</v>
        <stp/>
        <stp>BDH|13470199256227957881</stp>
        <tr r="Y19" s="2"/>
      </tp>
      <tp t="s">
        <v>#N/A N/A</v>
        <stp/>
        <stp>BDH|15412967689398080411</stp>
        <tr r="U41" s="4"/>
      </tp>
      <tp t="s">
        <v>#N/A N/A</v>
        <stp/>
        <stp>BDH|14588428438898041359</stp>
        <tr r="R31" s="4"/>
      </tp>
      <tp t="s">
        <v>#N/A N/A</v>
        <stp/>
        <stp>BDH|12208686464352493877</stp>
        <tr r="X18" s="3"/>
      </tp>
      <tp t="s">
        <v>#N/A N/A</v>
        <stp/>
        <stp>BDH|15529759036730840933</stp>
        <tr r="S46" s="2"/>
      </tp>
      <tp t="s">
        <v>#N/A N/A</v>
        <stp/>
        <stp>BDH|11657412657199522189</stp>
        <tr r="V23" s="3"/>
      </tp>
      <tp t="s">
        <v>#N/A N/A</v>
        <stp/>
        <stp>BDH|11418198987946079675</stp>
        <tr r="T34" s="2"/>
      </tp>
      <tp t="s">
        <v>#N/A N/A</v>
        <stp/>
        <stp>BDH|11362412149420180978</stp>
        <tr r="E27" s="3"/>
      </tp>
      <tp t="s">
        <v>#N/A N/A</v>
        <stp/>
        <stp>BDH|16044498844178025609</stp>
        <tr r="H18" s="4"/>
      </tp>
      <tp t="s">
        <v>#N/A N/A</v>
        <stp/>
        <stp>BDH|10743517881095826039</stp>
        <tr r="X14" s="4"/>
      </tp>
      <tp t="s">
        <v>#N/A N/A</v>
        <stp/>
        <stp>BDH|11883514011525059840</stp>
        <tr r="L10" s="4"/>
      </tp>
      <tp t="s">
        <v>#N/A N/A</v>
        <stp/>
        <stp>BDH|14895047470102893984</stp>
        <tr r="Y51" s="3"/>
      </tp>
      <tp t="s">
        <v>#N/A N/A</v>
        <stp/>
        <stp>BDH|13135953034226971755</stp>
        <tr r="U46" s="2"/>
      </tp>
      <tp t="s">
        <v>#N/A N/A</v>
        <stp/>
        <stp>BDH|10797679193120917766</stp>
        <tr r="U16" s="3"/>
      </tp>
      <tp t="s">
        <v>#N/A N/A</v>
        <stp/>
        <stp>BDH|17752299586012309741</stp>
        <tr r="Q10" s="4"/>
      </tp>
      <tp t="s">
        <v>#N/A N/A</v>
        <stp/>
        <stp>BDH|15428381505779314758</stp>
        <tr r="F20" s="3"/>
      </tp>
      <tp t="s">
        <v>#N/A N/A</v>
        <stp/>
        <stp>BDH|13589816909632730157</stp>
        <tr r="Q9" s="3"/>
      </tp>
      <tp t="s">
        <v>#N/A N/A</v>
        <stp/>
        <stp>BDH|14125240739108467575</stp>
        <tr r="H36" s="4"/>
      </tp>
      <tp t="s">
        <v>#N/A N/A</v>
        <stp/>
        <stp>BDH|12690038629829331110</stp>
        <tr r="T17" s="4"/>
      </tp>
      <tp t="s">
        <v>#N/A N/A</v>
        <stp/>
        <stp>BDH|14624738303242980919</stp>
        <tr r="G63" s="2"/>
      </tp>
      <tp t="s">
        <v>#N/A N/A</v>
        <stp/>
        <stp>BDH|12443138635218920054</stp>
        <tr r="R13" s="4"/>
      </tp>
      <tp t="s">
        <v>#N/A N/A</v>
        <stp/>
        <stp>BDH|17546626285391923054</stp>
        <tr r="F65" s="3"/>
      </tp>
      <tp t="s">
        <v>#N/A N/A</v>
        <stp/>
        <stp>BDH|13363335385817870738</stp>
        <tr r="Q14" s="3"/>
      </tp>
      <tp t="s">
        <v>#N/A N/A</v>
        <stp/>
        <stp>BDH|16895701979647845882</stp>
        <tr r="Z33" s="3"/>
      </tp>
      <tp t="s">
        <v>#N/A N/A</v>
        <stp/>
        <stp>BDH|17727998007121873603</stp>
        <tr r="U50" s="4"/>
      </tp>
      <tp t="s">
        <v>#N/A N/A</v>
        <stp/>
        <stp>BDH|13448439987507954180</stp>
        <tr r="Z50" s="3"/>
      </tp>
      <tp t="s">
        <v>#N/A N/A</v>
        <stp/>
        <stp>BDH|13069716704885449800</stp>
        <tr r="X30" s="3"/>
      </tp>
      <tp t="s">
        <v>#N/A N/A</v>
        <stp/>
        <stp>BDH|16680978160470636066</stp>
        <tr r="N33" s="3"/>
      </tp>
      <tp t="s">
        <v>#N/A N/A</v>
        <stp/>
        <stp>BDH|14676988417410930518</stp>
        <tr r="R36" s="4"/>
      </tp>
      <tp t="s">
        <v>#N/A N/A</v>
        <stp/>
        <stp>BDH|10527700065288066012</stp>
        <tr r="C12" s="2"/>
      </tp>
      <tp t="s">
        <v>#N/A N/A</v>
        <stp/>
        <stp>BDH|12105883868641918490</stp>
        <tr r="Q8" s="2"/>
      </tp>
      <tp t="s">
        <v>#N/A N/A</v>
        <stp/>
        <stp>BDH|16920738520229923333</stp>
        <tr r="H7" s="3"/>
      </tp>
      <tp t="s">
        <v>#N/A N/A</v>
        <stp/>
        <stp>BDH|13351945681339281243</stp>
        <tr r="D10" s="2"/>
      </tp>
      <tp t="s">
        <v>#N/A N/A</v>
        <stp/>
        <stp>BDH|13293256153339447407</stp>
        <tr r="T18" s="3"/>
      </tp>
      <tp t="s">
        <v>#N/A N/A</v>
        <stp/>
        <stp>BDH|15593113280757407203</stp>
        <tr r="F9" s="3"/>
      </tp>
      <tp t="s">
        <v>#N/A N/A</v>
        <stp/>
        <stp>BDH|17479825516061098606</stp>
        <tr r="S67" s="2"/>
      </tp>
      <tp t="s">
        <v>#N/A N/A</v>
        <stp/>
        <stp>BDH|18260858291857173776</stp>
        <tr r="H39" s="2"/>
      </tp>
      <tp t="s">
        <v>#N/A N/A</v>
        <stp/>
        <stp>BDH|12210343274676583945</stp>
        <tr r="F40" s="2"/>
      </tp>
      <tp t="s">
        <v>#N/A N/A</v>
        <stp/>
        <stp>BDH|17939830965022593293</stp>
        <tr r="J68" s="3"/>
      </tp>
      <tp t="s">
        <v>#N/A N/A</v>
        <stp/>
        <stp>BDH|16660616584823301230</stp>
        <tr r="Q46" s="2"/>
      </tp>
      <tp t="s">
        <v>#N/A N/A</v>
        <stp/>
        <stp>BDH|17343391626857769885</stp>
        <tr r="K45" s="3"/>
      </tp>
      <tp t="s">
        <v>#N/A N/A</v>
        <stp/>
        <stp>BDH|15702815496289585461</stp>
        <tr r="R33" s="2"/>
      </tp>
      <tp t="s">
        <v>#N/A N/A</v>
        <stp/>
        <stp>BDH|17443658209978365081</stp>
        <tr r="O23" s="2"/>
      </tp>
      <tp t="s">
        <v>#N/A N/A</v>
        <stp/>
        <stp>BDH|10396774217337030816</stp>
        <tr r="K63" s="2"/>
      </tp>
      <tp t="s">
        <v>#N/A N/A</v>
        <stp/>
        <stp>BDH|18177545857730358139</stp>
        <tr r="Z35" s="2"/>
        <tr r="Z47" s="2"/>
      </tp>
      <tp t="s">
        <v>#N/A N/A</v>
        <stp/>
        <stp>BDH|13849809346926593095</stp>
        <tr r="N41" s="3"/>
      </tp>
      <tp t="s">
        <v>#N/A N/A</v>
        <stp/>
        <stp>BDH|13062014667399199556</stp>
        <tr r="J54" s="4"/>
      </tp>
      <tp t="s">
        <v>#N/A N/A</v>
        <stp/>
        <stp>BDH|10395257085154125700</stp>
        <tr r="Z63" s="4"/>
      </tp>
      <tp t="s">
        <v>#N/A N/A</v>
        <stp/>
        <stp>BDH|13838554821074776993</stp>
        <tr r="C67" s="2"/>
      </tp>
      <tp t="s">
        <v>#N/A N/A</v>
        <stp/>
        <stp>BDH|16308015172641029920</stp>
        <tr r="H19" s="2"/>
      </tp>
      <tp t="s">
        <v>#N/A N/A</v>
        <stp/>
        <stp>BDH|10954445595670800421</stp>
        <tr r="N9" s="3"/>
      </tp>
      <tp t="s">
        <v>#N/A N/A</v>
        <stp/>
        <stp>BDH|11058107683810305152</stp>
        <tr r="C84" s="3"/>
      </tp>
      <tp t="s">
        <v>#N/A N/A</v>
        <stp/>
        <stp>BDH|13176385764106847909</stp>
        <tr r="Y46" s="2"/>
      </tp>
      <tp t="s">
        <v>#N/A N/A</v>
        <stp/>
        <stp>BDH|12184552725615589917</stp>
        <tr r="P65" s="3"/>
      </tp>
      <tp t="s">
        <v>#N/A N/A</v>
        <stp/>
        <stp>BDH|10641906015574218543</stp>
        <tr r="O37" s="2"/>
      </tp>
      <tp t="s">
        <v>#N/A N/A</v>
        <stp/>
        <stp>BDH|12276823116120084227</stp>
        <tr r="U57" s="3"/>
      </tp>
      <tp t="s">
        <v>#N/A N/A</v>
        <stp/>
        <stp>BDH|15237098852229522083</stp>
        <tr r="Y8" s="4"/>
      </tp>
      <tp t="s">
        <v>#N/A N/A</v>
        <stp/>
        <stp>BDH|13367018283775195748</stp>
        <tr r="D33" s="2"/>
      </tp>
      <tp t="s">
        <v>#N/A N/A</v>
        <stp/>
        <stp>BDH|15690909342736211729</stp>
        <tr r="X90" s="3"/>
      </tp>
      <tp t="s">
        <v>#N/A N/A</v>
        <stp/>
        <stp>BDH|16277639777869717758</stp>
        <tr r="J73" s="3"/>
      </tp>
      <tp t="s">
        <v>#N/A N/A</v>
        <stp/>
        <stp>BDH|15629040961983495933</stp>
        <tr r="O65" s="2"/>
      </tp>
      <tp t="s">
        <v>#N/A N/A</v>
        <stp/>
        <stp>BDH|18350738743675197763</stp>
        <tr r="L38" s="2"/>
      </tp>
      <tp t="s">
        <v>#N/A N/A</v>
        <stp/>
        <stp>BDH|14806333875749357091</stp>
        <tr r="L47" s="4"/>
      </tp>
      <tp t="s">
        <v>#N/A N/A</v>
        <stp/>
        <stp>BDH|14354967356913092272</stp>
        <tr r="E8" s="4"/>
      </tp>
      <tp t="s">
        <v>#N/A N/A</v>
        <stp/>
        <stp>BDH|14901972286249875541</stp>
        <tr r="W36" s="4"/>
      </tp>
      <tp t="s">
        <v>#N/A N/A</v>
        <stp/>
        <stp>BDH|16757971407572123427</stp>
        <tr r="C6" s="2"/>
      </tp>
      <tp t="s">
        <v>#N/A N/A</v>
        <stp/>
        <stp>BDH|16712448153237249954</stp>
        <tr r="I27" s="4"/>
      </tp>
      <tp t="s">
        <v>#N/A N/A</v>
        <stp/>
        <stp>BDH|11445905705909389859</stp>
        <tr r="K30" s="3"/>
      </tp>
      <tp t="s">
        <v>#N/A N/A</v>
        <stp/>
        <stp>BDH|14135424396462136239</stp>
        <tr r="N44" s="3"/>
      </tp>
      <tp t="s">
        <v>#N/A N/A</v>
        <stp/>
        <stp>BDH|18352991255038001588</stp>
        <tr r="G8" s="2"/>
      </tp>
      <tp t="s">
        <v>#N/A N/A</v>
        <stp/>
        <stp>BDH|16458764387160545076</stp>
        <tr r="D56" s="2"/>
      </tp>
      <tp t="s">
        <v>#N/A N/A</v>
        <stp/>
        <stp>BDH|16675409494181583305</stp>
        <tr r="K14" s="4"/>
      </tp>
      <tp t="s">
        <v>#N/A N/A</v>
        <stp/>
        <stp>BDH|11695077828133671988</stp>
        <tr r="L63" s="3"/>
      </tp>
      <tp t="s">
        <v>#N/A N/A</v>
        <stp/>
        <stp>BDH|13621906731677515756</stp>
        <tr r="I24" s="2"/>
      </tp>
      <tp t="s">
        <v>#N/A N/A</v>
        <stp/>
        <stp>BDH|17786943624723155603</stp>
        <tr r="Z68" s="3"/>
      </tp>
      <tp t="s">
        <v>#N/A N/A</v>
        <stp/>
        <stp>BDH|16683353964798058210</stp>
        <tr r="Q16" s="2"/>
      </tp>
      <tp t="s">
        <v>#N/A N/A</v>
        <stp/>
        <stp>BDH|13565908032536060612</stp>
        <tr r="U42" s="4"/>
      </tp>
      <tp t="s">
        <v>#N/A N/A</v>
        <stp/>
        <stp>BDH|16070151081731256708</stp>
        <tr r="O56" s="3"/>
      </tp>
      <tp t="s">
        <v>#N/A N/A</v>
        <stp/>
        <stp>BDH|17833945670817357797</stp>
        <tr r="W22" s="4"/>
      </tp>
      <tp t="s">
        <v>#N/A N/A</v>
        <stp/>
        <stp>BDH|10785816881191267839</stp>
        <tr r="D82" s="3"/>
      </tp>
      <tp t="s">
        <v>#N/A N/A</v>
        <stp/>
        <stp>BDH|18281316179553947658</stp>
        <tr r="F70" s="2"/>
      </tp>
      <tp t="s">
        <v>#N/A N/A</v>
        <stp/>
        <stp>BDH|15804366788271171615</stp>
        <tr r="V68" s="3"/>
      </tp>
      <tp t="s">
        <v>#N/A N/A</v>
        <stp/>
        <stp>BDH|17614641549698854456</stp>
        <tr r="H7" s="4"/>
      </tp>
      <tp t="s">
        <v>#N/A N/A</v>
        <stp/>
        <stp>BDH|13824237004168979006</stp>
        <tr r="F87" s="3"/>
      </tp>
      <tp t="s">
        <v>#N/A N/A</v>
        <stp/>
        <stp>BDH|15913450895488159918</stp>
        <tr r="P27" s="2"/>
      </tp>
      <tp t="s">
        <v>#N/A N/A</v>
        <stp/>
        <stp>BDH|18125824099436182624</stp>
        <tr r="I54" s="4"/>
      </tp>
      <tp t="s">
        <v>#N/A N/A</v>
        <stp/>
        <stp>BDH|12522855139226742674</stp>
        <tr r="E54" s="4"/>
      </tp>
      <tp t="s">
        <v>#N/A N/A</v>
        <stp/>
        <stp>BDH|15809749560128441518</stp>
        <tr r="Q14" s="2"/>
      </tp>
      <tp t="s">
        <v>#N/A N/A</v>
        <stp/>
        <stp>BDH|12108377401021992967</stp>
        <tr r="K65" s="3"/>
      </tp>
      <tp t="s">
        <v>#N/A N/A</v>
        <stp/>
        <stp>BDH|18184629746511456298</stp>
        <tr r="Z62" s="2"/>
      </tp>
      <tp t="s">
        <v>#N/A N/A</v>
        <stp/>
        <stp>BDH|15844721169439291490</stp>
        <tr r="U9" s="3"/>
      </tp>
      <tp t="s">
        <v>#N/A N/A</v>
        <stp/>
        <stp>BDH|15016428728629748355</stp>
        <tr r="J94" s="3"/>
      </tp>
      <tp t="s">
        <v>#N/A N/A</v>
        <stp/>
        <stp>BDH|12759245229053353818</stp>
        <tr r="O26" s="4"/>
      </tp>
      <tp t="s">
        <v>#N/A N/A</v>
        <stp/>
        <stp>BDH|16469002619607468919</stp>
        <tr r="T7" s="3"/>
      </tp>
      <tp t="s">
        <v>#N/A N/A</v>
        <stp/>
        <stp>BDH|16868927924561486521</stp>
        <tr r="P39" s="3"/>
      </tp>
      <tp t="s">
        <v>#N/A N/A</v>
        <stp/>
        <stp>BDH|18152291231739062918</stp>
        <tr r="P49" s="3"/>
      </tp>
      <tp t="s">
        <v>#N/A N/A</v>
        <stp/>
        <stp>BDH|16513612599876448613</stp>
        <tr r="O48" s="4"/>
      </tp>
      <tp t="s">
        <v>#N/A N/A</v>
        <stp/>
        <stp>BDH|11407035695975970437</stp>
        <tr r="R42" s="4"/>
      </tp>
      <tp t="s">
        <v>#N/A N/A</v>
        <stp/>
        <stp>BDH|12040057029571408804</stp>
        <tr r="I33" s="2"/>
      </tp>
      <tp t="s">
        <v>#N/A N/A</v>
        <stp/>
        <stp>BDH|10227419858879419149</stp>
        <tr r="G50" s="4"/>
      </tp>
      <tp t="s">
        <v>#N/A N/A</v>
        <stp/>
        <stp>BDH|17025098040482503877</stp>
        <tr r="F66" s="3"/>
      </tp>
      <tp t="s">
        <v>#N/A N/A</v>
        <stp/>
        <stp>BDH|15849405637523484805</stp>
        <tr r="N68" s="2"/>
      </tp>
      <tp t="s">
        <v>#N/A N/A</v>
        <stp/>
        <stp>BDH|12327247194284864408</stp>
        <tr r="Z31" s="4"/>
      </tp>
      <tp t="s">
        <v>#N/A N/A</v>
        <stp/>
        <stp>BDH|15771059137727975877</stp>
        <tr r="D9" s="4"/>
      </tp>
      <tp t="s">
        <v>#N/A N/A</v>
        <stp/>
        <stp>BDH|10886364834159820092</stp>
        <tr r="Y34" s="3"/>
      </tp>
      <tp t="s">
        <v>#N/A N/A</v>
        <stp/>
        <stp>BDH|18192788984096145878</stp>
        <tr r="W6" s="2"/>
      </tp>
      <tp t="s">
        <v>#N/A N/A</v>
        <stp/>
        <stp>BDH|10872067196140446077</stp>
        <tr r="Y62" s="3"/>
      </tp>
      <tp t="s">
        <v>#N/A N/A</v>
        <stp/>
        <stp>BDH|12477865338467862792</stp>
        <tr r="S13" s="3"/>
      </tp>
      <tp t="s">
        <v>#N/A N/A</v>
        <stp/>
        <stp>BDH|17467076084596401082</stp>
        <tr r="K46" s="2"/>
      </tp>
      <tp t="s">
        <v>#N/A N/A</v>
        <stp/>
        <stp>BDH|16637498380911069242</stp>
        <tr r="R56" s="2"/>
      </tp>
      <tp t="s">
        <v>#N/A N/A</v>
        <stp/>
        <stp>BDH|14907513998765954425</stp>
        <tr r="M90" s="3"/>
      </tp>
      <tp t="s">
        <v>#N/A N/A</v>
        <stp/>
        <stp>BDH|17749088216507538865</stp>
        <tr r="N74" s="3"/>
      </tp>
      <tp t="s">
        <v>#N/A N/A</v>
        <stp/>
        <stp>BDH|16736918673781933061</stp>
        <tr r="W59" s="4"/>
      </tp>
      <tp t="s">
        <v>#N/A N/A</v>
        <stp/>
        <stp>BDH|16156121182097949121</stp>
        <tr r="Z32" s="4"/>
      </tp>
      <tp t="s">
        <v>#N/A N/A</v>
        <stp/>
        <stp>BDH|12900766290343227670</stp>
        <tr r="I23" s="4"/>
      </tp>
      <tp t="s">
        <v>#N/A N/A</v>
        <stp/>
        <stp>BDH|15428195599442957670</stp>
        <tr r="N19" s="3"/>
      </tp>
      <tp t="s">
        <v>#N/A N/A</v>
        <stp/>
        <stp>BDH|16881339373433725828</stp>
        <tr r="O33" s="4"/>
      </tp>
      <tp t="s">
        <v>#N/A N/A</v>
        <stp/>
        <stp>BDH|14023894333944269257</stp>
        <tr r="F77" s="3"/>
      </tp>
      <tp t="s">
        <v>#N/A N/A</v>
        <stp/>
        <stp>BDH|14013758523191865930</stp>
        <tr r="Y7" s="3"/>
      </tp>
      <tp t="s">
        <v>#N/A N/A</v>
        <stp/>
        <stp>BDH|17938020585021636753</stp>
        <tr r="U73" s="3"/>
      </tp>
      <tp t="s">
        <v>#N/A N/A</v>
        <stp/>
        <stp>BDH|17632649629598460229</stp>
        <tr r="J35" s="4"/>
      </tp>
      <tp t="s">
        <v>#N/A N/A</v>
        <stp/>
        <stp>BDH|17079861035656657385</stp>
        <tr r="V38" s="3"/>
      </tp>
      <tp t="s">
        <v>#N/A N/A</v>
        <stp/>
        <stp>BDH|11214694790134256347</stp>
        <tr r="C22" s="3"/>
      </tp>
      <tp t="s">
        <v>#N/A N/A</v>
        <stp/>
        <stp>BDH|13967103613718734204</stp>
        <tr r="W46" s="4"/>
      </tp>
      <tp t="s">
        <v>#N/A N/A</v>
        <stp/>
        <stp>BDH|11482894422863356115</stp>
        <tr r="Z40" s="3"/>
      </tp>
      <tp t="s">
        <v>#N/A N/A</v>
        <stp/>
        <stp>BDH|13385728887812349795</stp>
        <tr r="W16" s="4"/>
      </tp>
      <tp t="s">
        <v>#N/A N/A</v>
        <stp/>
        <stp>BDH|17946211408838967452</stp>
        <tr r="S50" s="2"/>
      </tp>
      <tp t="s">
        <v>#N/A N/A</v>
        <stp/>
        <stp>BDH|12018356795171981053</stp>
        <tr r="P24" s="2"/>
      </tp>
      <tp t="s">
        <v>#N/A N/A</v>
        <stp/>
        <stp>BDH|10028453248770327927</stp>
        <tr r="T87" s="3"/>
      </tp>
      <tp t="s">
        <v>#N/A N/A</v>
        <stp/>
        <stp>BDH|18277086712715548513</stp>
        <tr r="N50" s="4"/>
      </tp>
      <tp t="s">
        <v>#N/A N/A</v>
        <stp/>
        <stp>BDH|14202310393962443589</stp>
        <tr r="H57" s="3"/>
      </tp>
      <tp t="s">
        <v>#N/A N/A</v>
        <stp/>
        <stp>BDH|12479828269210716576</stp>
        <tr r="D11" s="3"/>
      </tp>
      <tp t="s">
        <v>#N/A N/A</v>
        <stp/>
        <stp>BDH|11710480266993403924</stp>
        <tr r="T65" s="2"/>
      </tp>
      <tp t="s">
        <v>#N/A N/A</v>
        <stp/>
        <stp>BDH|14266645790640071290</stp>
        <tr r="L84" s="3"/>
      </tp>
      <tp t="s">
        <v>#N/A N/A</v>
        <stp/>
        <stp>BDH|14719080670723526955</stp>
        <tr r="L19" s="2"/>
      </tp>
      <tp t="s">
        <v>#N/A N/A</v>
        <stp/>
        <stp>BDH|13915217383550407002</stp>
        <tr r="F71" s="3"/>
      </tp>
      <tp t="s">
        <v>#N/A N/A</v>
        <stp/>
        <stp>BDH|13077324289596525712</stp>
        <tr r="K31" s="2"/>
      </tp>
      <tp t="s">
        <v>#N/A N/A</v>
        <stp/>
        <stp>BDH|18102804389609658811</stp>
        <tr r="R71" s="2"/>
      </tp>
      <tp t="s">
        <v>#N/A N/A</v>
        <stp/>
        <stp>BDH|15977627345647510941</stp>
        <tr r="T50" s="2"/>
      </tp>
      <tp t="s">
        <v>#N/A N/A</v>
        <stp/>
        <stp>BDH|17122091386442476454</stp>
        <tr r="O36" s="4"/>
      </tp>
      <tp t="s">
        <v>#N/A N/A</v>
        <stp/>
        <stp>BDH|11735797060098954198</stp>
        <tr r="Y64" s="2"/>
      </tp>
      <tp t="s">
        <v>#N/A N/A</v>
        <stp/>
        <stp>BDH|17755608788130050018</stp>
        <tr r="N25" s="2"/>
      </tp>
      <tp t="s">
        <v>#N/A N/A</v>
        <stp/>
        <stp>BDH|11305079424439265433</stp>
        <tr r="C32" s="2"/>
      </tp>
      <tp t="s">
        <v>#N/A N/A</v>
        <stp/>
        <stp>BDH|12356562390435635528</stp>
        <tr r="P11" s="4"/>
      </tp>
      <tp t="s">
        <v>#N/A N/A</v>
        <stp/>
        <stp>BDH|12425948546572501320</stp>
        <tr r="D46" s="3"/>
      </tp>
      <tp t="s">
        <v>#N/A N/A</v>
        <stp/>
        <stp>BDH|18171714971611931796</stp>
        <tr r="X9" s="3"/>
      </tp>
      <tp t="s">
        <v>#N/A N/A</v>
        <stp/>
        <stp>BDH|17740166312501366811</stp>
        <tr r="G16" s="3"/>
      </tp>
      <tp t="s">
        <v>#N/A N/A</v>
        <stp/>
        <stp>BDH|16918161582003556292</stp>
        <tr r="R17" s="3"/>
      </tp>
      <tp t="s">
        <v>#N/A N/A</v>
        <stp/>
        <stp>BDH|12100242080570750635</stp>
        <tr r="J55" s="3"/>
      </tp>
      <tp t="s">
        <v>#N/A N/A</v>
        <stp/>
        <stp>BDH|14440953903461418274</stp>
        <tr r="Y41" s="4"/>
      </tp>
      <tp t="s">
        <v>#N/A N/A</v>
        <stp/>
        <stp>BDH|16495475289166319289</stp>
        <tr r="U15" s="4"/>
      </tp>
      <tp t="s">
        <v>#N/A N/A</v>
        <stp/>
        <stp>BDH|15757312145454701848</stp>
        <tr r="Q42" s="2"/>
      </tp>
      <tp t="s">
        <v>#N/A N/A</v>
        <stp/>
        <stp>BDH|13682544717231762820</stp>
        <tr r="W43" s="2"/>
      </tp>
      <tp t="s">
        <v>#N/A N/A</v>
        <stp/>
        <stp>BDH|10393400634501631811</stp>
        <tr r="G66" s="4"/>
      </tp>
      <tp t="s">
        <v>#N/A N/A</v>
        <stp/>
        <stp>BDH|17662037782386177768</stp>
        <tr r="R16" s="2"/>
      </tp>
      <tp t="s">
        <v>#N/A N/A</v>
        <stp/>
        <stp>BDH|18342009072230440156</stp>
        <tr r="X46" s="3"/>
      </tp>
      <tp t="s">
        <v>#N/A N/A</v>
        <stp/>
        <stp>BDH|15478001784760965394</stp>
        <tr r="N7" s="3"/>
      </tp>
      <tp t="s">
        <v>#N/A N/A</v>
        <stp/>
        <stp>BDH|13245981028713172537</stp>
        <tr r="R24" s="2"/>
      </tp>
      <tp t="s">
        <v>#N/A N/A</v>
        <stp/>
        <stp>BDH|16203550540321413833</stp>
        <tr r="N65" s="2"/>
      </tp>
      <tp t="s">
        <v>#N/A N/A</v>
        <stp/>
        <stp>BDH|14327980946106434196</stp>
        <tr r="K50" s="2"/>
      </tp>
      <tp t="s">
        <v>#N/A N/A</v>
        <stp/>
        <stp>BDH|18217799522047311496</stp>
        <tr r="J92" s="3"/>
      </tp>
      <tp t="s">
        <v>#N/A N/A</v>
        <stp/>
        <stp>BDH|16437164557348186472</stp>
        <tr r="I43" s="4"/>
      </tp>
      <tp t="s">
        <v>#N/A N/A</v>
        <stp/>
        <stp>BDH|16109117490978646856</stp>
        <tr r="O58" s="4"/>
      </tp>
      <tp t="s">
        <v>#N/A N/A</v>
        <stp/>
        <stp>BDH|15517847345516430133</stp>
        <tr r="Y51" s="2"/>
      </tp>
      <tp t="s">
        <v>#N/A N/A</v>
        <stp/>
        <stp>BDH|14635271467798145644</stp>
        <tr r="L63" s="4"/>
      </tp>
      <tp t="s">
        <v>#N/A N/A</v>
        <stp/>
        <stp>BDH|12405836145720266032</stp>
        <tr r="M50" s="2"/>
      </tp>
      <tp t="s">
        <v>#N/A N/A</v>
        <stp/>
        <stp>BDH|11038304006938601420</stp>
        <tr r="H17" s="4"/>
      </tp>
      <tp t="s">
        <v>#N/A N/A</v>
        <stp/>
        <stp>BDH|14446900614211184332</stp>
        <tr r="X42" s="2"/>
      </tp>
      <tp t="s">
        <v>#N/A N/A</v>
        <stp/>
        <stp>BDH|10254513796957288555</stp>
        <tr r="Q44" s="3"/>
      </tp>
      <tp t="s">
        <v>#N/A N/A</v>
        <stp/>
        <stp>BDH|17240283675278982448</stp>
        <tr r="Z63" s="2"/>
      </tp>
      <tp t="s">
        <v>#N/A N/A</v>
        <stp/>
        <stp>BDH|16224974167593712476</stp>
        <tr r="E46" s="3"/>
      </tp>
      <tp t="s">
        <v>#N/A N/A</v>
        <stp/>
        <stp>BDH|13042989389055760933</stp>
        <tr r="Z29" s="3"/>
      </tp>
      <tp t="s">
        <v>#N/A N/A</v>
        <stp/>
        <stp>BDH|10024047070901539848</stp>
        <tr r="I68" s="2"/>
      </tp>
      <tp t="s">
        <v>#N/A N/A</v>
        <stp/>
        <stp>BDH|17653180038742774942</stp>
        <tr r="N77" s="3"/>
      </tp>
      <tp t="s">
        <v>#N/A N/A</v>
        <stp/>
        <stp>BDH|11125023259099748383</stp>
        <tr r="Q54" s="2"/>
      </tp>
      <tp t="s">
        <v>#N/A N/A</v>
        <stp/>
        <stp>BDH|14013941130131907199</stp>
        <tr r="F49" s="2"/>
      </tp>
      <tp t="s">
        <v>#N/A N/A</v>
        <stp/>
        <stp>BDH|10755617894420615108</stp>
        <tr r="D36" s="4"/>
      </tp>
      <tp t="s">
        <v>#N/A N/A</v>
        <stp/>
        <stp>BDH|18112965101717157838</stp>
        <tr r="U78" s="3"/>
      </tp>
      <tp t="s">
        <v>#N/A N/A</v>
        <stp/>
        <stp>BDH|13662477793713192372</stp>
        <tr r="D39" s="2"/>
      </tp>
      <tp t="s">
        <v>#N/A N/A</v>
        <stp/>
        <stp>BDH|13929085860812242979</stp>
        <tr r="J34" s="2"/>
      </tp>
      <tp t="s">
        <v>#N/A N/A</v>
        <stp/>
        <stp>BDH|17848214725770973915</stp>
        <tr r="J31" s="4"/>
      </tp>
      <tp t="s">
        <v>#N/A N/A</v>
        <stp/>
        <stp>BDH|17097128377177960883</stp>
        <tr r="O52" s="4"/>
      </tp>
      <tp t="s">
        <v>#N/A N/A</v>
        <stp/>
        <stp>BDH|12689448034868142303</stp>
        <tr r="Y23" s="2"/>
      </tp>
      <tp t="s">
        <v>#N/A N/A</v>
        <stp/>
        <stp>BDH|16315543673789178321</stp>
        <tr r="M6" s="2"/>
      </tp>
      <tp t="s">
        <v>#N/A N/A</v>
        <stp/>
        <stp>BDH|10608629845104623808</stp>
        <tr r="N11" s="4"/>
      </tp>
      <tp t="s">
        <v>#N/A N/A</v>
        <stp/>
        <stp>BDH|13459003650060333802</stp>
        <tr r="S48" s="3"/>
      </tp>
      <tp t="s">
        <v>#N/A N/A</v>
        <stp/>
        <stp>BDH|15777903045651326766</stp>
        <tr r="S59" s="4"/>
      </tp>
      <tp t="s">
        <v>#N/A N/A</v>
        <stp/>
        <stp>BDH|17540571733127583827</stp>
        <tr r="D88" s="3"/>
      </tp>
      <tp t="s">
        <v>#N/A N/A</v>
        <stp/>
        <stp>BDH|12634099976188848377</stp>
        <tr r="Y52" s="4"/>
      </tp>
      <tp t="s">
        <v>#N/A N/A</v>
        <stp/>
        <stp>BDH|18445232200677503348</stp>
        <tr r="D85" s="3"/>
      </tp>
      <tp t="s">
        <v>#N/A N/A</v>
        <stp/>
        <stp>BDH|15567385015911625884</stp>
        <tr r="G45" s="2"/>
      </tp>
      <tp t="s">
        <v>#N/A N/A</v>
        <stp/>
        <stp>BDH|13145611175134685850</stp>
        <tr r="S73" s="3"/>
      </tp>
      <tp t="s">
        <v>#N/A N/A</v>
        <stp/>
        <stp>BDH|16200733347272924990</stp>
        <tr r="G40" s="2"/>
      </tp>
      <tp t="s">
        <v>#N/A N/A</v>
        <stp/>
        <stp>BDH|17689267909152697994</stp>
        <tr r="I87" s="3"/>
      </tp>
      <tp t="s">
        <v>#N/A N/A</v>
        <stp/>
        <stp>BDH|10366646343414562870</stp>
        <tr r="M51" s="2"/>
      </tp>
      <tp t="s">
        <v>#N/A N/A</v>
        <stp/>
        <stp>BDH|16264146792803225308</stp>
        <tr r="X44" s="4"/>
      </tp>
      <tp t="s">
        <v>#N/A N/A</v>
        <stp/>
        <stp>BDH|18109915898607822160</stp>
        <tr r="D23" s="2"/>
      </tp>
      <tp t="s">
        <v>#N/A N/A</v>
        <stp/>
        <stp>BDH|13273945190424873987</stp>
        <tr r="Z19" s="2"/>
      </tp>
      <tp t="s">
        <v>#N/A N/A</v>
        <stp/>
        <stp>BDH|13859256556109568381</stp>
        <tr r="U21" s="3"/>
      </tp>
      <tp t="s">
        <v>#N/A N/A</v>
        <stp/>
        <stp>BDH|10543405078575285898</stp>
        <tr r="E33" s="2"/>
      </tp>
      <tp t="s">
        <v>#N/A N/A</v>
        <stp/>
        <stp>BDH|18264510625263967296</stp>
        <tr r="D16" s="2"/>
      </tp>
      <tp t="s">
        <v>#N/A N/A</v>
        <stp/>
        <stp>BDH|15368794286406192244</stp>
        <tr r="X37" s="4"/>
      </tp>
      <tp t="s">
        <v>#N/A N/A</v>
        <stp/>
        <stp>BDH|12617669497145802662</stp>
        <tr r="T62" s="2"/>
      </tp>
      <tp t="s">
        <v>#N/A N/A</v>
        <stp/>
        <stp>BDH|12293965278404148646</stp>
        <tr r="O23" s="4"/>
      </tp>
      <tp t="s">
        <v>#N/A N/A</v>
        <stp/>
        <stp>BDH|15434963528762143229</stp>
        <tr r="V54" s="4"/>
      </tp>
      <tp t="s">
        <v>#N/A N/A</v>
        <stp/>
        <stp>BDH|16244733399574875299</stp>
        <tr r="U49" s="3"/>
      </tp>
      <tp t="s">
        <v>#N/A N/A</v>
        <stp/>
        <stp>BDH|11806229914869188565</stp>
        <tr r="S22" s="4"/>
      </tp>
      <tp t="s">
        <v>#N/A N/A</v>
        <stp/>
        <stp>BDH|10375909469555080430</stp>
        <tr r="R59" s="4"/>
      </tp>
      <tp t="s">
        <v>#N/A N/A</v>
        <stp/>
        <stp>BDH|14896944277044663048</stp>
        <tr r="Y47" s="3"/>
      </tp>
      <tp t="s">
        <v>#N/A N/A</v>
        <stp/>
        <stp>BDH|14046160166658051595</stp>
        <tr r="Y69" s="3"/>
      </tp>
      <tp t="s">
        <v>#N/A N/A</v>
        <stp/>
        <stp>BDH|11940845984099137612</stp>
        <tr r="Q11" s="3"/>
      </tp>
      <tp t="s">
        <v>#N/A N/A</v>
        <stp/>
        <stp>BDH|16462484449939585194</stp>
        <tr r="O70" s="3"/>
      </tp>
      <tp t="s">
        <v>#N/A N/A</v>
        <stp/>
        <stp>BDH|12489886810833060656</stp>
        <tr r="Z46" s="3"/>
      </tp>
      <tp t="s">
        <v>#N/A N/A</v>
        <stp/>
        <stp>BDH|16945262023588720024</stp>
        <tr r="J46" s="3"/>
      </tp>
      <tp t="s">
        <v>#N/A N/A</v>
        <stp/>
        <stp>BDH|17094010288601288022</stp>
        <tr r="T24" s="3"/>
      </tp>
      <tp t="s">
        <v>#N/A N/A</v>
        <stp/>
        <stp>BDH|11758661459648768460</stp>
        <tr r="O40" s="4"/>
      </tp>
      <tp t="s">
        <v>#N/A N/A</v>
        <stp/>
        <stp>BDH|10610856130444389183</stp>
        <tr r="D57" s="3"/>
      </tp>
      <tp t="s">
        <v>#N/A N/A</v>
        <stp/>
        <stp>BDH|14945727756549191142</stp>
        <tr r="Y66" s="2"/>
      </tp>
      <tp t="s">
        <v>#N/A N/A</v>
        <stp/>
        <stp>BDH|16678537338366349861</stp>
        <tr r="V43" s="3"/>
      </tp>
      <tp t="s">
        <v>#N/A N/A</v>
        <stp/>
        <stp>BDH|10334864261020451087</stp>
        <tr r="C62" s="2"/>
      </tp>
      <tp t="s">
        <v>#N/A N/A</v>
        <stp/>
        <stp>BDH|10843087095056533185</stp>
        <tr r="K63" s="3"/>
      </tp>
      <tp t="s">
        <v>#N/A N/A</v>
        <stp/>
        <stp>BDH|13562678400358161381</stp>
        <tr r="G22" s="3"/>
      </tp>
      <tp t="s">
        <v>#N/A N/A</v>
        <stp/>
        <stp>BDH|11568164559518712369</stp>
        <tr r="Z17" s="4"/>
      </tp>
      <tp t="s">
        <v>#N/A N/A</v>
        <stp/>
        <stp>BDH|11437507806458924203</stp>
        <tr r="Z32" s="3"/>
      </tp>
      <tp t="s">
        <v>#N/A N/A</v>
        <stp/>
        <stp>BDH|16986146497445728568</stp>
        <tr r="X94" s="3"/>
      </tp>
      <tp t="s">
        <v>#N/A N/A</v>
        <stp/>
        <stp>BDH|13562656897481462384</stp>
        <tr r="U33" s="3"/>
      </tp>
      <tp t="s">
        <v>#N/A N/A</v>
        <stp/>
        <stp>BDH|15939558910548607705</stp>
        <tr r="L82" s="3"/>
      </tp>
      <tp t="s">
        <v>#N/A N/A</v>
        <stp/>
        <stp>BDH|15824928483372794849</stp>
        <tr r="Y43" s="4"/>
      </tp>
      <tp t="s">
        <v>#N/A N/A</v>
        <stp/>
        <stp>BDH|12349392376089588136</stp>
        <tr r="N62" s="2"/>
      </tp>
      <tp t="s">
        <v>#N/A N/A</v>
        <stp/>
        <stp>BDH|18278286971546325529</stp>
        <tr r="R18" s="4"/>
      </tp>
      <tp t="s">
        <v>#N/A N/A</v>
        <stp/>
        <stp>BDH|11033973353137776494</stp>
        <tr r="P86" s="3"/>
      </tp>
      <tp t="s">
        <v>#N/A N/A</v>
        <stp/>
        <stp>BDH|17660215199122438000</stp>
        <tr r="K57" s="2"/>
      </tp>
      <tp t="s">
        <v>#N/A N/A</v>
        <stp/>
        <stp>BDH|18229748551111488592</stp>
        <tr r="Z65" s="3"/>
      </tp>
      <tp t="s">
        <v>#N/A N/A</v>
        <stp/>
        <stp>BDH|15506302808088624016</stp>
        <tr r="X88" s="3"/>
      </tp>
      <tp t="s">
        <v>#N/A N/A</v>
        <stp/>
        <stp>BDH|11234894879128921810</stp>
        <tr r="W17" s="4"/>
      </tp>
      <tp t="s">
        <v>#N/A N/A</v>
        <stp/>
        <stp>BDH|15080377259875453878</stp>
        <tr r="H77" s="3"/>
      </tp>
      <tp t="s">
        <v>#N/A N/A</v>
        <stp/>
        <stp>BDH|15264087031220287842</stp>
        <tr r="P78" s="3"/>
      </tp>
      <tp t="s">
        <v>#N/A N/A</v>
        <stp/>
        <stp>BDH|15742986846995717332</stp>
        <tr r="J20" s="2"/>
      </tp>
      <tp t="s">
        <v>#N/A N/A</v>
        <stp/>
        <stp>BDH|12998552690978260839</stp>
        <tr r="L50" s="4"/>
      </tp>
      <tp t="s">
        <v>#N/A N/A</v>
        <stp/>
        <stp>BDH|14673084161939166531</stp>
        <tr r="L67" s="3"/>
      </tp>
      <tp t="s">
        <v>#N/A N/A</v>
        <stp/>
        <stp>BDH|11908404411662350864</stp>
        <tr r="R7" s="4"/>
      </tp>
      <tp t="s">
        <v>#N/A N/A</v>
        <stp/>
        <stp>BDH|10811068486591435718</stp>
        <tr r="P33" s="2"/>
      </tp>
      <tp t="s">
        <v>#N/A N/A</v>
        <stp/>
        <stp>BDH|11634577376444856922</stp>
        <tr r="R40" s="4"/>
      </tp>
      <tp t="s">
        <v>#N/A N/A</v>
        <stp/>
        <stp>BDH|14621813309257247510</stp>
        <tr r="N6" s="2"/>
      </tp>
      <tp t="s">
        <v>#N/A N/A</v>
        <stp/>
        <stp>BDH|16178691196071452675</stp>
        <tr r="Z66" s="4"/>
      </tp>
      <tp t="s">
        <v>#N/A N/A</v>
        <stp/>
        <stp>BDH|12269573718471250922</stp>
        <tr r="Y47" s="4"/>
      </tp>
      <tp t="s">
        <v>#N/A N/A</v>
        <stp/>
        <stp>BDH|16138632706249833715</stp>
        <tr r="T56" s="3"/>
      </tp>
      <tp t="s">
        <v>#N/A N/A</v>
        <stp/>
        <stp>BDH|17649846466970898709</stp>
        <tr r="X32" s="3"/>
      </tp>
      <tp t="s">
        <v>#N/A N/A</v>
        <stp/>
        <stp>BDH|12387172729388669770</stp>
        <tr r="P67" s="3"/>
      </tp>
      <tp t="s">
        <v>#N/A N/A</v>
        <stp/>
        <stp>BDH|13076071596927599388</stp>
        <tr r="O31" s="3"/>
      </tp>
      <tp t="s">
        <v>#N/A N/A</v>
        <stp/>
        <stp>BDH|17645803112807028781</stp>
        <tr r="X25" s="3"/>
      </tp>
      <tp t="s">
        <v>#N/A N/A</v>
        <stp/>
        <stp>BDH|14362172275109834555</stp>
        <tr r="K45" s="2"/>
      </tp>
      <tp t="s">
        <v>#N/A N/A</v>
        <stp/>
        <stp>BDH|11904932061769336940</stp>
        <tr r="N27" s="4"/>
      </tp>
      <tp t="s">
        <v>#N/A N/A</v>
        <stp/>
        <stp>BDH|10486074185561891724</stp>
        <tr r="C16" s="3"/>
      </tp>
      <tp t="s">
        <v>#N/A N/A</v>
        <stp/>
        <stp>BDH|13646845549732258368</stp>
        <tr r="O21" s="3"/>
      </tp>
      <tp t="s">
        <v>#N/A N/A</v>
        <stp/>
        <stp>BDH|13036069004244510982</stp>
        <tr r="N70" s="3"/>
      </tp>
      <tp t="s">
        <v>#N/A N/A</v>
        <stp/>
        <stp>BDH|14761856606834203696</stp>
        <tr r="M20" s="3"/>
      </tp>
      <tp t="s">
        <v>#N/A N/A</v>
        <stp/>
        <stp>BDH|15381470949428136332</stp>
        <tr r="X11" s="3"/>
      </tp>
      <tp t="s">
        <v>#N/A N/A</v>
        <stp/>
        <stp>BDH|16088144598505342501</stp>
        <tr r="C16" s="2"/>
      </tp>
      <tp t="s">
        <v>#N/A N/A</v>
        <stp/>
        <stp>BDH|13558078549721308876</stp>
        <tr r="E52" s="4"/>
      </tp>
      <tp t="s">
        <v>#N/A N/A</v>
        <stp/>
        <stp>BDH|14914956067757324271</stp>
        <tr r="Y41" s="3"/>
      </tp>
      <tp t="s">
        <v>#N/A N/A</v>
        <stp/>
        <stp>BDH|17172721998207640022</stp>
        <tr r="R61" s="2"/>
      </tp>
      <tp t="s">
        <v>#N/A N/A</v>
        <stp/>
        <stp>BDH|13103614511043726994</stp>
        <tr r="H16" s="4"/>
      </tp>
      <tp t="s">
        <v>#N/A N/A</v>
        <stp/>
        <stp>BDH|10225840920282014693</stp>
        <tr r="U26" s="4"/>
      </tp>
      <tp t="s">
        <v>#N/A N/A</v>
        <stp/>
        <stp>BDH|14836163401098211325</stp>
        <tr r="L16" s="2"/>
      </tp>
      <tp t="s">
        <v>#N/A N/A</v>
        <stp/>
        <stp>BDH|11931358586176574209</stp>
        <tr r="P75" s="3"/>
      </tp>
      <tp t="s">
        <v>#N/A N/A</v>
        <stp/>
        <stp>BDH|11451415188572644158</stp>
        <tr r="Y22" s="4"/>
      </tp>
      <tp t="s">
        <v>#N/A N/A</v>
        <stp/>
        <stp>BDH|11192432819703413915</stp>
        <tr r="U43" s="3"/>
      </tp>
      <tp t="s">
        <v>#N/A N/A</v>
        <stp/>
        <stp>BDH|12681569292679924959</stp>
        <tr r="R28" s="2"/>
      </tp>
      <tp t="s">
        <v>#N/A N/A</v>
        <stp/>
        <stp>BDH|18343586861423661621</stp>
        <tr r="E94" s="3"/>
      </tp>
      <tp t="s">
        <v>#N/A N/A</v>
        <stp/>
        <stp>BDH|16883721706357296802</stp>
        <tr r="F34" s="4"/>
      </tp>
      <tp t="s">
        <v>#N/A N/A</v>
        <stp/>
        <stp>BDH|11403888138285825128</stp>
        <tr r="D76" s="3"/>
      </tp>
      <tp t="s">
        <v>#N/A N/A</v>
        <stp/>
        <stp>BDH|11713857908052850439</stp>
        <tr r="U10" s="3"/>
      </tp>
      <tp t="s">
        <v>#N/A N/A</v>
        <stp/>
        <stp>BDH|18089367262811087357</stp>
        <tr r="M31" s="3"/>
      </tp>
      <tp t="s">
        <v>#N/A N/A</v>
        <stp/>
        <stp>BDH|11919366483954487198</stp>
        <tr r="V18" s="3"/>
      </tp>
      <tp t="s">
        <v>#N/A N/A</v>
        <stp/>
        <stp>BDH|16884318787927855570</stp>
        <tr r="Q11" s="4"/>
      </tp>
      <tp t="s">
        <v>#N/A N/A</v>
        <stp/>
        <stp>BDH|12578800184665140817</stp>
        <tr r="J56" s="3"/>
      </tp>
      <tp t="s">
        <v>#N/A N/A</v>
        <stp/>
        <stp>BDH|15140233646218234476</stp>
        <tr r="N58" s="3"/>
      </tp>
      <tp t="s">
        <v>#N/A N/A</v>
        <stp/>
        <stp>BDH|17548014445498161415</stp>
        <tr r="D27" s="3"/>
      </tp>
      <tp t="s">
        <v>#N/A N/A</v>
        <stp/>
        <stp>BDH|14767436695205730374</stp>
        <tr r="Z55" s="2"/>
      </tp>
      <tp t="s">
        <v>#N/A N/A</v>
        <stp/>
        <stp>BDH|17637867242684034028</stp>
        <tr r="G27" s="4"/>
      </tp>
      <tp t="s">
        <v>#N/A N/A</v>
        <stp/>
        <stp>BDH|12831310557522966978</stp>
        <tr r="M17" s="4"/>
      </tp>
      <tp t="s">
        <v>#N/A N/A</v>
        <stp/>
        <stp>BDH|11477955478295087596</stp>
        <tr r="Y43" s="2"/>
      </tp>
      <tp t="s">
        <v>#N/A N/A</v>
        <stp/>
        <stp>BDH|11686179095277168159</stp>
        <tr r="P36" s="2"/>
      </tp>
      <tp t="s">
        <v>#N/A N/A</v>
        <stp/>
        <stp>BDH|11639934558386902447</stp>
        <tr r="R68" s="3"/>
      </tp>
      <tp t="s">
        <v>#N/A N/A</v>
        <stp/>
        <stp>BDH|11554544104609111246</stp>
        <tr r="O64" s="3"/>
      </tp>
      <tp t="s">
        <v>#N/A N/A</v>
        <stp/>
        <stp>BDH|14029185519619119200</stp>
        <tr r="C14" s="4"/>
      </tp>
      <tp t="s">
        <v>#N/A N/A</v>
        <stp/>
        <stp>BDH|10966290771043604971</stp>
        <tr r="S30" s="3"/>
      </tp>
      <tp t="s">
        <v>#N/A N/A</v>
        <stp/>
        <stp>BDH|15533794344190054985</stp>
        <tr r="S87" s="3"/>
      </tp>
      <tp t="s">
        <v>#N/A N/A</v>
        <stp/>
        <stp>BDH|13550840942851699152</stp>
        <tr r="S52" s="3"/>
      </tp>
      <tp t="s">
        <v>#N/A N/A</v>
        <stp/>
        <stp>BDH|14311865303274222742</stp>
        <tr r="H17" s="2"/>
      </tp>
      <tp t="s">
        <v>#N/A N/A</v>
        <stp/>
        <stp>BDH|13873269591312986563</stp>
        <tr r="W47" s="3"/>
      </tp>
      <tp t="s">
        <v>#N/A N/A</v>
        <stp/>
        <stp>BDH|14258858911502686005</stp>
        <tr r="P29" s="3"/>
      </tp>
      <tp t="s">
        <v>#N/A N/A</v>
        <stp/>
        <stp>BDH|15365927513475862799</stp>
        <tr r="H18" s="3"/>
      </tp>
      <tp t="s">
        <v>#N/A N/A</v>
        <stp/>
        <stp>BDH|14087241994921693150</stp>
        <tr r="D91" s="3"/>
      </tp>
      <tp t="s">
        <v>#N/A N/A</v>
        <stp/>
        <stp>BDH|12304505724253781937</stp>
        <tr r="G30" s="4"/>
      </tp>
      <tp t="s">
        <v>#N/A N/A</v>
        <stp/>
        <stp>BDH|18320846992340289640</stp>
        <tr r="L17" s="3"/>
      </tp>
      <tp t="s">
        <v>#N/A N/A</v>
        <stp/>
        <stp>BDH|16844998470753162430</stp>
        <tr r="W14" s="3"/>
      </tp>
      <tp t="s">
        <v>#N/A N/A</v>
        <stp/>
        <stp>BDH|12599987586538996409</stp>
        <tr r="T17" s="2"/>
      </tp>
      <tp t="s">
        <v>#N/A N/A</v>
        <stp/>
        <stp>BDH|10585968847422394054</stp>
        <tr r="P25" s="2"/>
      </tp>
      <tp t="s">
        <v>#N/A N/A</v>
        <stp/>
        <stp>BDH|14709484979069745138</stp>
        <tr r="S28" s="2"/>
      </tp>
      <tp t="s">
        <v>#N/A N/A</v>
        <stp/>
        <stp>BDH|10336383622027280990</stp>
        <tr r="S86" s="3"/>
      </tp>
      <tp t="s">
        <v>#N/A N/A</v>
        <stp/>
        <stp>BDH|16507952100841265103</stp>
        <tr r="G49" s="3"/>
      </tp>
      <tp t="s">
        <v>#N/A N/A</v>
        <stp/>
        <stp>BDH|12970548104659226194</stp>
        <tr r="X82" s="3"/>
      </tp>
      <tp t="s">
        <v>#N/A N/A</v>
        <stp/>
        <stp>BDH|14260492180884041396</stp>
        <tr r="M25" s="4"/>
      </tp>
      <tp t="s">
        <v>#N/A N/A</v>
        <stp/>
        <stp>BDH|14887700288245031124</stp>
        <tr r="C45" s="3"/>
      </tp>
      <tp t="s">
        <v>#N/A N/A</v>
        <stp/>
        <stp>BDH|14764610413289064573</stp>
        <tr r="G28" s="4"/>
      </tp>
      <tp t="s">
        <v>#N/A N/A</v>
        <stp/>
        <stp>BDH|17222532916358112445</stp>
        <tr r="Y16" s="3"/>
      </tp>
      <tp t="s">
        <v>#N/A N/A</v>
        <stp/>
        <stp>BDH|17114934496860914884</stp>
        <tr r="C75" s="3"/>
      </tp>
      <tp t="s">
        <v>#N/A N/A</v>
        <stp/>
        <stp>BDH|12643721365374093842</stp>
        <tr r="H91" s="3"/>
      </tp>
      <tp t="s">
        <v>#N/A N/A</v>
        <stp/>
        <stp>BDH|16763994715700989171</stp>
        <tr r="X10" s="2"/>
      </tp>
      <tp t="s">
        <v>#N/A N/A</v>
        <stp/>
        <stp>BDH|11052239521236344846</stp>
        <tr r="O35" s="4"/>
      </tp>
      <tp t="s">
        <v>#N/A N/A</v>
        <stp/>
        <stp>BDH|14248581879578457129</stp>
        <tr r="Z49" s="3"/>
      </tp>
      <tp t="s">
        <v>#N/A N/A</v>
        <stp/>
        <stp>BDH|14958921305314237694</stp>
        <tr r="K49" s="2"/>
      </tp>
      <tp t="s">
        <v>#N/A N/A</v>
        <stp/>
        <stp>BDH|15332748004128737519</stp>
        <tr r="Y63" s="2"/>
      </tp>
      <tp t="s">
        <v>#N/A N/A</v>
        <stp/>
        <stp>BDH|14032924781512678802</stp>
        <tr r="C41" s="4"/>
      </tp>
      <tp t="s">
        <v>#N/A N/A</v>
        <stp/>
        <stp>BDH|13898817651133987241</stp>
        <tr r="T92" s="3"/>
      </tp>
      <tp t="s">
        <v>#N/A N/A</v>
        <stp/>
        <stp>BDH|14722631857200545830</stp>
        <tr r="S59" s="3"/>
      </tp>
      <tp t="s">
        <v>#N/A N/A</v>
        <stp/>
        <stp>BDH|15082732762212648937</stp>
        <tr r="U50" s="3"/>
      </tp>
      <tp t="s">
        <v>#N/A N/A</v>
        <stp/>
        <stp>BDH|10334826951972625025</stp>
        <tr r="W60" s="3"/>
      </tp>
      <tp t="s">
        <v>#N/A N/A</v>
        <stp/>
        <stp>BDH|12535870712197244368</stp>
        <tr r="N43" s="3"/>
      </tp>
      <tp t="s">
        <v>#N/A N/A</v>
        <stp/>
        <stp>BDH|13057426971107530820</stp>
        <tr r="H83" s="3"/>
      </tp>
      <tp t="s">
        <v>#N/A N/A</v>
        <stp/>
        <stp>BDH|12177417885459741861</stp>
        <tr r="Y76" s="3"/>
      </tp>
      <tp t="s">
        <v>#N/A N/A</v>
        <stp/>
        <stp>BDH|11075948931737482356</stp>
        <tr r="U30" s="3"/>
      </tp>
      <tp t="s">
        <v>#N/A N/A</v>
        <stp/>
        <stp>BDH|17622810289761358994</stp>
        <tr r="I52" s="3"/>
      </tp>
      <tp t="s">
        <v>#N/A N/A</v>
        <stp/>
        <stp>BDH|12831398695502511565</stp>
        <tr r="T72" s="2"/>
      </tp>
      <tp t="s">
        <v>#N/A N/A</v>
        <stp/>
        <stp>BDH|10851896322194088142</stp>
        <tr r="J59" s="3"/>
      </tp>
      <tp t="s">
        <v>#N/A N/A</v>
        <stp/>
        <stp>BDH|12785935779862811129</stp>
        <tr r="G42" s="2"/>
      </tp>
      <tp t="s">
        <v>#N/A N/A</v>
        <stp/>
        <stp>BDH|15058243913118969191</stp>
        <tr r="H14" s="3"/>
      </tp>
      <tp t="s">
        <v>#N/A N/A</v>
        <stp/>
        <stp>BDH|12314087053490674892</stp>
        <tr r="I21" s="3"/>
      </tp>
      <tp t="s">
        <v>#N/A N/A</v>
        <stp/>
        <stp>BDH|14006068311598824288</stp>
        <tr r="Q46" s="3"/>
      </tp>
      <tp t="s">
        <v>#N/A N/A</v>
        <stp/>
        <stp>BDH|13040355151788348205</stp>
        <tr r="T46" s="4"/>
      </tp>
      <tp t="s">
        <v>#N/A N/A</v>
        <stp/>
        <stp>BDH|11777532280673535065</stp>
        <tr r="I69" s="2"/>
      </tp>
      <tp t="s">
        <v>#N/A N/A</v>
        <stp/>
        <stp>BDH|15694041484721221339</stp>
        <tr r="E55" s="3"/>
      </tp>
      <tp t="s">
        <v>#N/A N/A</v>
        <stp/>
        <stp>BDH|13451106381474444179</stp>
        <tr r="N64" s="3"/>
      </tp>
      <tp t="s">
        <v>#N/A N/A</v>
        <stp/>
        <stp>BDH|15297308490901165151</stp>
        <tr r="E76" s="3"/>
      </tp>
      <tp t="s">
        <v>#N/A N/A</v>
        <stp/>
        <stp>BDH|12660234816548596600</stp>
        <tr r="M28" s="3"/>
      </tp>
      <tp t="s">
        <v>#N/A N/A</v>
        <stp/>
        <stp>BDH|14655646385155685077</stp>
        <tr r="C74" s="3"/>
      </tp>
      <tp t="s">
        <v>#N/A N/A</v>
        <stp/>
        <stp>BDH|12408485529698235312</stp>
        <tr r="R26" s="2"/>
      </tp>
      <tp t="s">
        <v>#N/A N/A</v>
        <stp/>
        <stp>BDH|16168904756124613188</stp>
        <tr r="T64" s="3"/>
      </tp>
      <tp t="s">
        <v>#N/A N/A</v>
        <stp/>
        <stp>BDH|12588814921537858046</stp>
        <tr r="C64" s="4"/>
      </tp>
      <tp t="s">
        <v>#N/A N/A</v>
        <stp/>
        <stp>BDH|16962852377280543678</stp>
        <tr r="N50" s="2"/>
      </tp>
      <tp t="s">
        <v>#N/A N/A</v>
        <stp/>
        <stp>BDH|15199454731299446481</stp>
        <tr r="J20" s="3"/>
      </tp>
      <tp t="s">
        <v>#N/A N/A</v>
        <stp/>
        <stp>BDH|10118899126591227457</stp>
        <tr r="O36" s="2"/>
      </tp>
      <tp t="s">
        <v>#N/A N/A</v>
        <stp/>
        <stp>BDH|10734235070059899352</stp>
        <tr r="L53" s="3"/>
      </tp>
      <tp t="s">
        <v>#N/A N/A</v>
        <stp/>
        <stp>BDH|18221304797134869942</stp>
        <tr r="H84" s="3"/>
      </tp>
      <tp t="s">
        <v>#N/A N/A</v>
        <stp/>
        <stp>BDH|18269543159695739210</stp>
        <tr r="J12" s="3"/>
      </tp>
      <tp t="s">
        <v>#N/A N/A</v>
        <stp/>
        <stp>BDH|17981199894941974149</stp>
        <tr r="Y65" s="4"/>
      </tp>
      <tp t="s">
        <v>#N/A N/A</v>
        <stp/>
        <stp>BDH|13949001098103013697</stp>
        <tr r="L9" s="2"/>
      </tp>
      <tp t="s">
        <v>#N/A N/A</v>
        <stp/>
        <stp>BDH|10960754255204234931</stp>
        <tr r="E42" s="4"/>
      </tp>
      <tp t="s">
        <v>#N/A N/A</v>
        <stp/>
        <stp>BDH|13764272005318421694</stp>
        <tr r="R16" s="4"/>
      </tp>
      <tp t="s">
        <v>#N/A N/A</v>
        <stp/>
        <stp>BDH|15758250658264453962</stp>
        <tr r="T8" s="3"/>
      </tp>
      <tp t="s">
        <v>#N/A N/A</v>
        <stp/>
        <stp>BDH|14188277308781392856</stp>
        <tr r="H34" s="2"/>
      </tp>
      <tp t="s">
        <v>#N/A N/A</v>
        <stp/>
        <stp>BDH|17615232777859380495</stp>
        <tr r="V23" s="2"/>
      </tp>
      <tp t="s">
        <v>#N/A N/A</v>
        <stp/>
        <stp>BDH|10698836339531434533</stp>
        <tr r="F44" s="4"/>
      </tp>
      <tp t="s">
        <v>#N/A N/A</v>
        <stp/>
        <stp>BDH|14612942432930937123</stp>
        <tr r="J16" s="4"/>
      </tp>
      <tp t="s">
        <v>#N/A N/A</v>
        <stp/>
        <stp>BDH|14994569690090603728</stp>
        <tr r="G64" s="2"/>
      </tp>
      <tp t="s">
        <v>#N/A N/A</v>
        <stp/>
        <stp>BDH|11285228764859640393</stp>
        <tr r="H9" s="2"/>
      </tp>
      <tp t="s">
        <v>#N/A N/A</v>
        <stp/>
        <stp>BDH|11563648685146881679</stp>
        <tr r="T68" s="3"/>
      </tp>
      <tp t="s">
        <v>#N/A N/A</v>
        <stp/>
        <stp>BDH|12374977478582009178</stp>
        <tr r="Y29" s="4"/>
      </tp>
      <tp t="s">
        <v>#N/A N/A</v>
        <stp/>
        <stp>BDH|13935948310192588635</stp>
        <tr r="Y8" s="2"/>
      </tp>
      <tp t="s">
        <v>#N/A N/A</v>
        <stp/>
        <stp>BDH|12970678634840043815</stp>
        <tr r="U40" s="4"/>
      </tp>
      <tp t="s">
        <v>#N/A N/A</v>
        <stp/>
        <stp>BDH|12079527608389580150</stp>
        <tr r="V70" s="2"/>
      </tp>
      <tp t="s">
        <v>#N/A N/A</v>
        <stp/>
        <stp>BDH|16603425748049038068</stp>
        <tr r="E52" s="2"/>
      </tp>
      <tp t="s">
        <v>#N/A N/A</v>
        <stp/>
        <stp>BDH|13733690922831108975</stp>
        <tr r="V71" s="3"/>
      </tp>
      <tp t="s">
        <v>#N/A N/A</v>
        <stp/>
        <stp>BDH|11907667995430913191</stp>
        <tr r="Y44" s="4"/>
      </tp>
      <tp t="s">
        <v>#N/A N/A</v>
        <stp/>
        <stp>BDH|11459497730271691819</stp>
        <tr r="I27" s="2"/>
      </tp>
      <tp t="s">
        <v>#N/A N/A</v>
        <stp/>
        <stp>BDH|14886719805385403926</stp>
        <tr r="M55" s="2"/>
      </tp>
      <tp t="s">
        <v>#N/A N/A</v>
        <stp/>
        <stp>BDH|17876155891590306053</stp>
        <tr r="J22" s="4"/>
      </tp>
      <tp t="s">
        <v>#N/A N/A</v>
        <stp/>
        <stp>BDH|17215849673640153790</stp>
        <tr r="X42" s="3"/>
      </tp>
      <tp t="s">
        <v>#N/A N/A</v>
        <stp/>
        <stp>BDH|17453069584238867832</stp>
        <tr r="Y52" s="2"/>
      </tp>
      <tp t="s">
        <v>#N/A N/A</v>
        <stp/>
        <stp>BDH|18149935005667271988</stp>
        <tr r="Z67" s="3"/>
      </tp>
      <tp t="s">
        <v>#N/A N/A</v>
        <stp/>
        <stp>BDH|13575801514394519194</stp>
        <tr r="T69" s="3"/>
      </tp>
      <tp t="s">
        <v>#N/A N/A</v>
        <stp/>
        <stp>BDH|10028897184047938890</stp>
        <tr r="L30" s="3"/>
      </tp>
      <tp t="s">
        <v>#N/A N/A</v>
        <stp/>
        <stp>BDH|11510164748379773217</stp>
        <tr r="J52" s="2"/>
      </tp>
      <tp t="s">
        <v>#N/A N/A</v>
        <stp/>
        <stp>BDH|11222527394952872002</stp>
        <tr r="D64" s="3"/>
      </tp>
      <tp t="s">
        <v>#N/A N/A</v>
        <stp/>
        <stp>BDH|11516388558069827112</stp>
        <tr r="T40" s="3"/>
      </tp>
      <tp t="s">
        <v>#N/A N/A</v>
        <stp/>
        <stp>BDH|16353756934415891861</stp>
        <tr r="F16" s="4"/>
      </tp>
      <tp t="s">
        <v>#N/A N/A</v>
        <stp/>
        <stp>BDH|15634253252214888954</stp>
        <tr r="V23" s="4"/>
      </tp>
      <tp t="s">
        <v>#N/A N/A</v>
        <stp/>
        <stp>BDH|14401595182821421773</stp>
        <tr r="V36" s="2"/>
      </tp>
      <tp t="s">
        <v>#N/A N/A</v>
        <stp/>
        <stp>BDH|14923496729829275477</stp>
        <tr r="Z41" s="3"/>
      </tp>
      <tp t="s">
        <v>#N/A N/A</v>
        <stp/>
        <stp>BDH|17842786948333519811</stp>
        <tr r="I9" s="2"/>
      </tp>
      <tp t="s">
        <v>#N/A N/A</v>
        <stp/>
        <stp>BDH|12164897659079825952</stp>
        <tr r="X52" s="3"/>
      </tp>
      <tp t="s">
        <v>#N/A N/A</v>
        <stp/>
        <stp>BDH|17647816831915228689</stp>
        <tr r="I16" s="4"/>
      </tp>
      <tp t="s">
        <v>#N/A N/A</v>
        <stp/>
        <stp>BDH|17284227012853655886</stp>
        <tr r="M67" s="2"/>
      </tp>
      <tp t="s">
        <v>#N/A N/A</v>
        <stp/>
        <stp>BDH|15252047009699661369</stp>
        <tr r="P51" s="3"/>
      </tp>
      <tp t="s">
        <v>#N/A N/A</v>
        <stp/>
        <stp>BDH|18168125209126284077</stp>
        <tr r="F56" s="3"/>
      </tp>
      <tp t="s">
        <v>#N/A N/A</v>
        <stp/>
        <stp>BDH|15801581439314636800</stp>
        <tr r="D46" s="2"/>
      </tp>
      <tp t="s">
        <v>#N/A N/A</v>
        <stp/>
        <stp>BDH|16369196477758210706</stp>
        <tr r="I7" s="4"/>
      </tp>
      <tp t="s">
        <v>#N/A N/A</v>
        <stp/>
        <stp>BDH|11296973970951848120</stp>
        <tr r="K27" s="2"/>
      </tp>
      <tp t="s">
        <v>#N/A N/A</v>
        <stp/>
        <stp>BDH|13903189938569602709</stp>
        <tr r="E25" s="4"/>
      </tp>
      <tp t="s">
        <v>#N/A N/A</v>
        <stp/>
        <stp>BDH|12991930339145413290</stp>
        <tr r="D45" s="2"/>
      </tp>
      <tp t="s">
        <v>#N/A N/A</v>
        <stp/>
        <stp>BDH|13014881183968470411</stp>
        <tr r="R72" s="2"/>
      </tp>
      <tp t="s">
        <v>#N/A N/A</v>
        <stp/>
        <stp>BDH|11205959749180623364</stp>
        <tr r="M63" s="3"/>
      </tp>
      <tp t="s">
        <v>#N/A N/A</v>
        <stp/>
        <stp>BDH|17903073288852165293</stp>
        <tr r="V63" s="2"/>
      </tp>
      <tp t="s">
        <v>#N/A N/A</v>
        <stp/>
        <stp>BDH|10118293148229941079</stp>
        <tr r="G11" s="4"/>
      </tp>
      <tp t="s">
        <v>#N/A N/A</v>
        <stp/>
        <stp>BDH|11828498289683659105</stp>
        <tr r="U83" s="3"/>
      </tp>
      <tp t="s">
        <v>#N/A N/A</v>
        <stp/>
        <stp>BDH|13107207380620755687</stp>
        <tr r="G40" s="4"/>
      </tp>
      <tp t="s">
        <v>#N/A N/A</v>
        <stp/>
        <stp>BDH|11671069668831497928</stp>
        <tr r="D92" s="3"/>
      </tp>
      <tp t="s">
        <v>#N/A N/A</v>
        <stp/>
        <stp>BDH|14473264368069179651</stp>
        <tr r="T42" s="3"/>
      </tp>
      <tp t="s">
        <v>#N/A N/A</v>
        <stp/>
        <stp>BDH|14411896471027933047</stp>
        <tr r="Z24" s="3"/>
      </tp>
      <tp t="s">
        <v>#N/A N/A</v>
        <stp/>
        <stp>BDH|15128535170789513279</stp>
        <tr r="P60" s="3"/>
      </tp>
      <tp t="s">
        <v>#N/A N/A</v>
        <stp/>
        <stp>BDH|11659973450915121402</stp>
        <tr r="Z78" s="3"/>
      </tp>
      <tp t="s">
        <v>#N/A N/A</v>
        <stp/>
        <stp>BDH|12107962147566622568</stp>
        <tr r="M14" s="3"/>
      </tp>
      <tp t="s">
        <v>#N/A N/A</v>
        <stp/>
        <stp>BDH|12818274858319317046</stp>
        <tr r="H48" s="3"/>
      </tp>
      <tp t="s">
        <v>#N/A N/A</v>
        <stp/>
        <stp>BDH|18151812943649184129</stp>
        <tr r="Z14" s="2"/>
      </tp>
      <tp t="s">
        <v>#N/A N/A</v>
        <stp/>
        <stp>BDH|11765612295110573262</stp>
        <tr r="D43" s="3"/>
      </tp>
      <tp t="s">
        <v>#N/A N/A</v>
        <stp/>
        <stp>BDH|13314854146407939495</stp>
        <tr r="N86" s="3"/>
      </tp>
      <tp t="s">
        <v>#N/A N/A</v>
        <stp/>
        <stp>BDH|12861664030102715994</stp>
        <tr r="K52" s="2"/>
      </tp>
      <tp t="s">
        <v>#N/A N/A</v>
        <stp/>
        <stp>BDH|15581419695755085118</stp>
        <tr r="I62" s="4"/>
      </tp>
      <tp t="s">
        <v>#N/A N/A</v>
        <stp/>
        <stp>BDH|16089058577349339414</stp>
        <tr r="S68" s="3"/>
      </tp>
      <tp t="s">
        <v>#N/A N/A</v>
        <stp/>
        <stp>BDH|12996906512372915416</stp>
        <tr r="P21" s="3"/>
      </tp>
      <tp t="s">
        <v>#N/A N/A</v>
        <stp/>
        <stp>BDH|13736859078659806915</stp>
        <tr r="J16" s="3"/>
      </tp>
      <tp t="s">
        <v>#N/A N/A</v>
        <stp/>
        <stp>BDH|10146755217492730879</stp>
        <tr r="L23" s="2"/>
      </tp>
      <tp t="s">
        <v>#N/A N/A</v>
        <stp/>
        <stp>BDH|12212952572456318658</stp>
        <tr r="X86" s="3"/>
      </tp>
      <tp t="s">
        <v>#N/A N/A</v>
        <stp/>
        <stp>BDH|11937758912212427998</stp>
        <tr r="R10" s="2"/>
      </tp>
      <tp t="s">
        <v>#N/A N/A</v>
        <stp/>
        <stp>BDH|11362428155858679413</stp>
        <tr r="V13" s="3"/>
      </tp>
      <tp t="s">
        <v>#N/A N/A</v>
        <stp/>
        <stp>BDH|10390452907681750958</stp>
        <tr r="C66" s="2"/>
      </tp>
      <tp t="s">
        <v>#N/A N/A</v>
        <stp/>
        <stp>BDH|15761747211289744663</stp>
        <tr r="Q74" s="3"/>
      </tp>
      <tp t="s">
        <v>#N/A N/A</v>
        <stp/>
        <stp>BDH|16094668244218440053</stp>
        <tr r="X38" s="3"/>
      </tp>
      <tp t="s">
        <v>#N/A N/A</v>
        <stp/>
        <stp>BDH|17317322981439359919</stp>
        <tr r="D86" s="3"/>
      </tp>
      <tp t="s">
        <v>#N/A N/A</v>
        <stp/>
        <stp>BDH|15794367513459068206</stp>
        <tr r="O7" s="3"/>
      </tp>
      <tp t="s">
        <v>#N/A N/A</v>
        <stp/>
        <stp>BDH|17921048586535160683</stp>
        <tr r="Y19" s="3"/>
      </tp>
      <tp t="s">
        <v>#N/A N/A</v>
        <stp/>
        <stp>BDH|17599180429619521133</stp>
        <tr r="O82" s="3"/>
      </tp>
      <tp t="s">
        <v>#N/A N/A</v>
        <stp/>
        <stp>BDH|15422995305306828628</stp>
        <tr r="N24" s="4"/>
      </tp>
      <tp t="s">
        <v>#N/A N/A</v>
        <stp/>
        <stp>BDH|11079858056379747965</stp>
        <tr r="X17" s="2"/>
      </tp>
      <tp t="s">
        <v>#N/A N/A</v>
        <stp/>
        <stp>BDH|15960062498585132542</stp>
        <tr r="P47" s="4"/>
      </tp>
      <tp t="s">
        <v>#N/A N/A</v>
        <stp/>
        <stp>BDH|10026923441884491555</stp>
        <tr r="O26" s="2"/>
      </tp>
      <tp t="s">
        <v>#N/A N/A</v>
        <stp/>
        <stp>BDH|15900345199442116174</stp>
        <tr r="Y29" s="3"/>
      </tp>
      <tp t="s">
        <v>#N/A N/A</v>
        <stp/>
        <stp>BDH|13193742432728552373</stp>
        <tr r="O30" s="3"/>
      </tp>
      <tp t="s">
        <v>#N/A N/A</v>
        <stp/>
        <stp>BDH|10520925554173476329</stp>
        <tr r="S33" s="2"/>
      </tp>
      <tp t="s">
        <v>#N/A N/A</v>
        <stp/>
        <stp>BDH|15395216917688901297</stp>
        <tr r="D10" s="3"/>
      </tp>
      <tp t="s">
        <v>#N/A N/A</v>
        <stp/>
        <stp>BDH|10328228500339403704</stp>
        <tr r="D19" s="2"/>
      </tp>
      <tp t="s">
        <v>#N/A N/A</v>
        <stp/>
        <stp>BDH|14013246640118539647</stp>
        <tr r="U18" s="2"/>
      </tp>
      <tp t="s">
        <v>#N/A N/A</v>
        <stp/>
        <stp>BDH|11247923334746426152</stp>
        <tr r="W21" s="3"/>
      </tp>
      <tp t="s">
        <v>#N/A N/A</v>
        <stp/>
        <stp>BDH|14149141796968436829</stp>
        <tr r="N49" s="2"/>
      </tp>
      <tp t="s">
        <v>#N/A N/A</v>
        <stp/>
        <stp>BDH|17357655339459904732</stp>
        <tr r="T14" s="4"/>
      </tp>
      <tp t="s">
        <v>#N/A N/A</v>
        <stp/>
        <stp>BDH|13257273852170423861</stp>
        <tr r="O83" s="3"/>
      </tp>
      <tp t="s">
        <v>#N/A N/A</v>
        <stp/>
        <stp>BDH|17843904539219283871</stp>
        <tr r="X78" s="3"/>
      </tp>
      <tp t="s">
        <v>#N/A N/A</v>
        <stp/>
        <stp>BDH|12798628560398082610</stp>
        <tr r="G22" s="4"/>
      </tp>
      <tp t="s">
        <v>#N/A N/A</v>
        <stp/>
        <stp>BDH|14459969977595254334</stp>
        <tr r="Z41" s="2"/>
      </tp>
      <tp t="s">
        <v>#N/A N/A</v>
        <stp/>
        <stp>BDH|16358407820388265455</stp>
        <tr r="P14" s="2"/>
      </tp>
      <tp t="s">
        <v>#N/A N/A</v>
        <stp/>
        <stp>BDH|17477517697734146375</stp>
        <tr r="F38" s="3"/>
      </tp>
      <tp t="s">
        <v>#N/A N/A</v>
        <stp/>
        <stp>BDH|17567260595244192438</stp>
        <tr r="H19" s="3"/>
      </tp>
      <tp t="s">
        <v>#N/A N/A</v>
        <stp/>
        <stp>BDH|12424525200482504949</stp>
        <tr r="G9" s="2"/>
      </tp>
      <tp t="s">
        <v>#N/A N/A</v>
        <stp/>
        <stp>BDH|16330385195132982205</stp>
        <tr r="Z94" s="3"/>
      </tp>
      <tp t="s">
        <v>#N/A N/A</v>
        <stp/>
        <stp>BDH|17312464592316267028</stp>
        <tr r="F8" s="4"/>
      </tp>
      <tp t="s">
        <v>#N/A N/A</v>
        <stp/>
        <stp>BDH|15390397669094755834</stp>
        <tr r="L50" s="2"/>
      </tp>
      <tp t="s">
        <v>#N/A N/A</v>
        <stp/>
        <stp>BDH|11163848343603571240</stp>
        <tr r="F52" s="2"/>
      </tp>
      <tp t="s">
        <v>#N/A N/A</v>
        <stp/>
        <stp>BDH|16371665695583690610</stp>
        <tr r="Y75" s="3"/>
      </tp>
      <tp t="s">
        <v>#N/A N/A</v>
        <stp/>
        <stp>BDH|14024651695540107764</stp>
        <tr r="G20" s="3"/>
      </tp>
      <tp t="s">
        <v>#N/A N/A</v>
        <stp/>
        <stp>BDH|14776881374463538490</stp>
        <tr r="Z45" s="4"/>
      </tp>
      <tp t="s">
        <v>#N/A N/A</v>
        <stp/>
        <stp>BDH|16139117275528623446</stp>
        <tr r="Q32" s="4"/>
      </tp>
      <tp t="s">
        <v>#N/A N/A</v>
        <stp/>
        <stp>BDH|10714902927862163576</stp>
        <tr r="O20" s="2"/>
      </tp>
      <tp t="s">
        <v>#N/A N/A</v>
        <stp/>
        <stp>BDH|12772315096375425128</stp>
        <tr r="N22" s="2"/>
      </tp>
      <tp t="s">
        <v>#N/A N/A</v>
        <stp/>
        <stp>BDH|16903211258575495827</stp>
        <tr r="D23" s="4"/>
      </tp>
      <tp t="s">
        <v>#N/A N/A</v>
        <stp/>
        <stp>BDH|15983679394232440489</stp>
        <tr r="F37" s="4"/>
      </tp>
      <tp t="s">
        <v>#N/A N/A</v>
        <stp/>
        <stp>BDH|12630425902233308939</stp>
        <tr r="K14" s="2"/>
      </tp>
      <tp t="s">
        <v>#N/A N/A</v>
        <stp/>
        <stp>BDH|12625033356322750926</stp>
        <tr r="M52" s="2"/>
      </tp>
      <tp t="s">
        <v>#N/A N/A</v>
        <stp/>
        <stp>BDH|10252764145329322647</stp>
        <tr r="M45" s="2"/>
      </tp>
      <tp t="s">
        <v>#N/A N/A</v>
        <stp/>
        <stp>BDH|13218829781918472730</stp>
        <tr r="X32" s="4"/>
      </tp>
      <tp t="s">
        <v>#N/A N/A</v>
        <stp/>
        <stp>BDH|10957695651326770900</stp>
        <tr r="Q23" s="2"/>
      </tp>
      <tp t="s">
        <v>#N/A N/A</v>
        <stp/>
        <stp>BDH|11396622781530924302</stp>
        <tr r="Z73" s="3"/>
      </tp>
      <tp t="s">
        <v>#N/A N/A</v>
        <stp/>
        <stp>BDH|10063111278888978296</stp>
        <tr r="U25" s="4"/>
      </tp>
      <tp t="s">
        <v>#N/A N/A</v>
        <stp/>
        <stp>BDH|16284437295404575381</stp>
        <tr r="R64" s="4"/>
      </tp>
      <tp t="s">
        <v>#N/A N/A</v>
        <stp/>
        <stp>BDH|17925993608744043610</stp>
        <tr r="K24" s="3"/>
      </tp>
      <tp t="s">
        <v>#N/A N/A</v>
        <stp/>
        <stp>BDH|13006409488886767567</stp>
        <tr r="V50" s="4"/>
      </tp>
      <tp t="s">
        <v>#N/A N/A</v>
        <stp/>
        <stp>BDH|17876350103329100164</stp>
        <tr r="J14" s="4"/>
      </tp>
      <tp t="s">
        <v>#N/A N/A</v>
        <stp/>
        <stp>BDH|12436982722245139067</stp>
        <tr r="W62" s="2"/>
      </tp>
      <tp t="s">
        <v>#N/A N/A</v>
        <stp/>
        <stp>BDH|13025719718319658069</stp>
        <tr r="J7" s="3"/>
      </tp>
      <tp t="s">
        <v>#N/A N/A</v>
        <stp/>
        <stp>BDH|11825549536729798258</stp>
        <tr r="T36" s="4"/>
      </tp>
      <tp t="s">
        <v>#N/A N/A</v>
        <stp/>
        <stp>BDH|15091647379969331166</stp>
        <tr r="V19" s="2"/>
      </tp>
      <tp t="s">
        <v>#N/A N/A</v>
        <stp/>
        <stp>BDH|12948552936429480168</stp>
        <tr r="W11" s="4"/>
      </tp>
      <tp t="s">
        <v>#N/A N/A</v>
        <stp/>
        <stp>BDH|13434611796675211593</stp>
        <tr r="H76" s="3"/>
      </tp>
      <tp t="s">
        <v>#N/A N/A</v>
        <stp/>
        <stp>BDH|14326123279219277722</stp>
        <tr r="O60" s="3"/>
      </tp>
      <tp t="s">
        <v>#N/A N/A</v>
        <stp/>
        <stp>BDH|10721883842637646736</stp>
        <tr r="J48" s="3"/>
      </tp>
      <tp t="s">
        <v>#N/A N/A</v>
        <stp/>
        <stp>BDH|12086856315461958625</stp>
        <tr r="R14" s="4"/>
      </tp>
      <tp t="s">
        <v>#N/A N/A</v>
        <stp/>
        <stp>BDH|10963533899375958519</stp>
        <tr r="M74" s="3"/>
      </tp>
      <tp t="s">
        <v>#N/A N/A</v>
        <stp/>
        <stp>BDH|12554660862956357890</stp>
        <tr r="I31" s="4"/>
      </tp>
      <tp t="s">
        <v>#N/A N/A</v>
        <stp/>
        <stp>BDH|15138388447607015953</stp>
        <tr r="O48" s="3"/>
      </tp>
      <tp t="s">
        <v>#N/A N/A</v>
        <stp/>
        <stp>BDH|15513879407120652180</stp>
        <tr r="K28" s="4"/>
      </tp>
      <tp t="s">
        <v>#N/A N/A</v>
        <stp/>
        <stp>BDH|12707926519822356447</stp>
        <tr r="T33" s="4"/>
      </tp>
      <tp t="s">
        <v>#N/A N/A</v>
        <stp/>
        <stp>BDH|11526838187535283887</stp>
        <tr r="H10" s="2"/>
      </tp>
      <tp t="s">
        <v>#N/A N/A</v>
        <stp/>
        <stp>BDH|17575937639089144853</stp>
        <tr r="P11" s="2"/>
      </tp>
      <tp t="s">
        <v>#N/A N/A</v>
        <stp/>
        <stp>BDH|17980429385053345463</stp>
        <tr r="V65" s="4"/>
      </tp>
      <tp t="s">
        <v>#N/A N/A</v>
        <stp/>
        <stp>BDH|11018301500519374787</stp>
        <tr r="C59" s="4"/>
      </tp>
      <tp t="s">
        <v>#N/A N/A</v>
        <stp/>
        <stp>BDH|15564931053703923677</stp>
        <tr r="Q12" s="3"/>
      </tp>
      <tp t="s">
        <v>#N/A N/A</v>
        <stp/>
        <stp>BDH|17370838999663605953</stp>
        <tr r="M23" s="4"/>
      </tp>
      <tp t="s">
        <v>#N/A N/A</v>
        <stp/>
        <stp>BDH|16336999734521127155</stp>
        <tr r="Q45" s="4"/>
      </tp>
      <tp t="s">
        <v>#N/A N/A</v>
        <stp/>
        <stp>BDH|18260221938481345419</stp>
        <tr r="F34" s="3"/>
      </tp>
      <tp t="s">
        <v>#N/A N/A</v>
        <stp/>
        <stp>BDH|14887755590424457231</stp>
        <tr r="C21" s="4"/>
      </tp>
      <tp t="s">
        <v>#N/A N/A</v>
        <stp/>
        <stp>BDH|12650123642573850845</stp>
        <tr r="C35" s="2"/>
        <tr r="C47" s="2"/>
      </tp>
      <tp t="s">
        <v>#N/A N/A</v>
        <stp/>
        <stp>BDH|12407891430833488633</stp>
        <tr r="L65" s="4"/>
      </tp>
      <tp t="s">
        <v>#N/A N/A</v>
        <stp/>
        <stp>BDH|17961842142500010723</stp>
        <tr r="Q42" s="3"/>
      </tp>
      <tp t="s">
        <v>#N/A N/A</v>
        <stp/>
        <stp>BDH|14222857258041163431</stp>
        <tr r="N14" s="3"/>
      </tp>
      <tp t="s">
        <v>#N/A N/A</v>
        <stp/>
        <stp>BDH|18143964521926282994</stp>
        <tr r="O71" s="2"/>
      </tp>
      <tp t="s">
        <v>#N/A N/A</v>
        <stp/>
        <stp>BDH|11386999745642278204</stp>
        <tr r="I30" s="4"/>
      </tp>
      <tp t="s">
        <v>#N/A N/A</v>
        <stp/>
        <stp>BDH|13849682415930025889</stp>
        <tr r="D42" s="3"/>
      </tp>
      <tp t="s">
        <v>#N/A N/A</v>
        <stp/>
        <stp>BDH|10121613824781113991</stp>
        <tr r="H63" s="4"/>
      </tp>
      <tp t="s">
        <v>#N/A N/A</v>
        <stp/>
        <stp>BDH|10697653702882988873</stp>
        <tr r="J15" s="4"/>
      </tp>
      <tp t="s">
        <v>#N/A N/A</v>
        <stp/>
        <stp>BDH|13943612983974610529</stp>
        <tr r="Q66" s="3"/>
      </tp>
      <tp t="s">
        <v>#N/A N/A</v>
        <stp/>
        <stp>BDH|17024585891314285349</stp>
        <tr r="S50" s="4"/>
      </tp>
      <tp t="s">
        <v>#N/A N/A</v>
        <stp/>
        <stp>BDH|17639937745355725397</stp>
        <tr r="C12" s="3"/>
      </tp>
      <tp t="s">
        <v>#N/A N/A</v>
        <stp/>
        <stp>BDH|13711006319958496645</stp>
        <tr r="O42" s="4"/>
      </tp>
      <tp t="s">
        <v>#N/A N/A</v>
        <stp/>
        <stp>BDH|15399598190175351074</stp>
        <tr r="D18" s="2"/>
      </tp>
      <tp t="s">
        <v>#N/A N/A</v>
        <stp/>
        <stp>BDH|11253665487183322119</stp>
        <tr r="F47" s="4"/>
      </tp>
      <tp t="s">
        <v>#N/A N/A</v>
        <stp/>
        <stp>BDH|17590948263361016439</stp>
        <tr r="D13" s="4"/>
      </tp>
      <tp t="s">
        <v>#N/A N/A</v>
        <stp/>
        <stp>BDH|17411026892000618339</stp>
        <tr r="H47" s="3"/>
      </tp>
      <tp t="s">
        <v>#N/A N/A</v>
        <stp/>
        <stp>BDH|18192828692084481045</stp>
        <tr r="H8" s="2"/>
      </tp>
      <tp t="s">
        <v>#N/A N/A</v>
        <stp/>
        <stp>BDH|17878546968851491812</stp>
        <tr r="S93" s="3"/>
      </tp>
      <tp t="s">
        <v>#N/A N/A</v>
        <stp/>
        <stp>BDH|13167833407676559017</stp>
        <tr r="Q41" s="3"/>
      </tp>
      <tp t="s">
        <v>#N/A N/A</v>
        <stp/>
        <stp>BDH|10158012892784718044</stp>
        <tr r="J19" s="2"/>
      </tp>
      <tp t="s">
        <v>#N/A N/A</v>
        <stp/>
        <stp>BDH|13527814252310437333</stp>
        <tr r="S41" s="4"/>
      </tp>
      <tp t="s">
        <v>#N/A N/A</v>
        <stp/>
        <stp>BDH|15034644065099862185</stp>
        <tr r="J58" s="4"/>
      </tp>
      <tp t="s">
        <v>#N/A N/A</v>
        <stp/>
        <stp>BDH|11092464467169290721</stp>
        <tr r="H90" s="3"/>
      </tp>
      <tp t="s">
        <v>#N/A N/A</v>
        <stp/>
        <stp>BDH|10625847758212845229</stp>
        <tr r="S41" s="2"/>
      </tp>
      <tp t="s">
        <v>#N/A N/A</v>
        <stp/>
        <stp>BDH|12175938429381205595</stp>
        <tr r="H63" s="2"/>
      </tp>
      <tp t="s">
        <v>#N/A N/A</v>
        <stp/>
        <stp>BDH|16008956243682198470</stp>
        <tr r="W55" s="3"/>
      </tp>
      <tp t="s">
        <v>#N/A N/A</v>
        <stp/>
        <stp>BDH|10584035181686017374</stp>
        <tr r="J63" s="3"/>
      </tp>
      <tp t="s">
        <v>#N/A N/A</v>
        <stp/>
        <stp>BDH|15357046848845653992</stp>
        <tr r="V18" s="4"/>
      </tp>
      <tp t="s">
        <v>#N/A N/A</v>
        <stp/>
        <stp>BDH|14037038784935798408</stp>
        <tr r="C19" s="2"/>
      </tp>
      <tp t="s">
        <v>#N/A N/A</v>
        <stp/>
        <stp>BDH|17056511460380147906</stp>
        <tr r="C63" s="3"/>
      </tp>
      <tp t="s">
        <v>#N/A N/A</v>
        <stp/>
        <stp>BDH|12121203268838883315</stp>
        <tr r="Q64" s="2"/>
      </tp>
      <tp t="s">
        <v>#N/A N/A</v>
        <stp/>
        <stp>BDH|13590974661433004200</stp>
        <tr r="N31" s="4"/>
      </tp>
      <tp t="s">
        <v>#N/A N/A</v>
        <stp/>
        <stp>BDH|15083788687677425085</stp>
        <tr r="G47" s="3"/>
      </tp>
      <tp t="s">
        <v>#N/A N/A</v>
        <stp/>
        <stp>BDH|14428087688844254558</stp>
        <tr r="V84" s="3"/>
      </tp>
      <tp t="s">
        <v>#N/A N/A</v>
        <stp/>
        <stp>BDH|15427482880320674492</stp>
        <tr r="Y49" s="3"/>
      </tp>
      <tp t="s">
        <v>#N/A N/A</v>
        <stp/>
        <stp>BDH|16100915492588825396</stp>
        <tr r="L62" s="3"/>
      </tp>
      <tp t="s">
        <v>#N/A N/A</v>
        <stp/>
        <stp>BDH|10949881490725316909</stp>
        <tr r="L33" s="4"/>
      </tp>
      <tp t="s">
        <v>#N/A N/A</v>
        <stp/>
        <stp>BDH|14168450255298696055</stp>
        <tr r="H9" s="3"/>
      </tp>
      <tp t="s">
        <v>#N/A N/A</v>
        <stp/>
        <stp>BDH|16343916744867349171</stp>
        <tr r="K8" s="3"/>
      </tp>
      <tp t="s">
        <v>#N/A N/A</v>
        <stp/>
        <stp>BDH|10017549555275730847</stp>
        <tr r="L42" s="3"/>
      </tp>
      <tp t="s">
        <v>#N/A N/A</v>
        <stp/>
        <stp>BDH|17712308462257318847</stp>
        <tr r="I12" s="4"/>
      </tp>
      <tp t="s">
        <v>#N/A N/A</v>
        <stp/>
        <stp>BDH|11628767280824045728</stp>
        <tr r="Q26" s="4"/>
      </tp>
      <tp t="s">
        <v>#N/A N/A</v>
        <stp/>
        <stp>BDH|10202401075466067852</stp>
        <tr r="P64" s="2"/>
      </tp>
      <tp t="s">
        <v>#N/A N/A</v>
        <stp/>
        <stp>BDH|14043225846306673903</stp>
        <tr r="W93" s="3"/>
      </tp>
      <tp t="s">
        <v>#N/A N/A</v>
        <stp/>
        <stp>BDH|18286844351108699031</stp>
        <tr r="J35" s="3"/>
      </tp>
      <tp t="s">
        <v>#N/A N/A</v>
        <stp/>
        <stp>BDH|17534363292655229510</stp>
        <tr r="P74" s="3"/>
      </tp>
      <tp t="s">
        <v>#N/A N/A</v>
        <stp/>
        <stp>BDH|17985951306403726086</stp>
        <tr r="F52" s="4"/>
      </tp>
      <tp t="s">
        <v>#N/A N/A</v>
        <stp/>
        <stp>BDH|17192766343549112003</stp>
        <tr r="D54" s="2"/>
      </tp>
      <tp t="s">
        <v>#N/A N/A</v>
        <stp/>
        <stp>BDH|16423681528076674978</stp>
        <tr r="H31" s="2"/>
      </tp>
      <tp t="s">
        <v>#N/A N/A</v>
        <stp/>
        <stp>BDH|15546918852245218113</stp>
        <tr r="J50" s="2"/>
      </tp>
      <tp t="s">
        <v>#N/A N/A</v>
        <stp/>
        <stp>BDH|12556950684619926782</stp>
        <tr r="F37" s="2"/>
      </tp>
      <tp t="s">
        <v>#N/A N/A</v>
        <stp/>
        <stp>BDH|14890184040784332868</stp>
        <tr r="L22" s="4"/>
      </tp>
      <tp t="s">
        <v>#N/A N/A</v>
        <stp/>
        <stp>BDH|14467978323843201177</stp>
        <tr r="Q84" s="3"/>
      </tp>
      <tp t="s">
        <v>#N/A N/A</v>
        <stp/>
        <stp>BDH|10067730279729642495</stp>
        <tr r="N88" s="3"/>
      </tp>
      <tp t="s">
        <v>#N/A N/A</v>
        <stp/>
        <stp>BDH|18073626016171341323</stp>
        <tr r="M20" s="2"/>
      </tp>
      <tp t="s">
        <v>#N/A N/A</v>
        <stp/>
        <stp>BDH|12166748870648563758</stp>
        <tr r="N35" s="2"/>
        <tr r="N47" s="2"/>
      </tp>
      <tp t="s">
        <v>#N/A N/A</v>
        <stp/>
        <stp>BDH|14132293598407232572</stp>
        <tr r="R12" s="2"/>
      </tp>
      <tp t="s">
        <v>#N/A N/A</v>
        <stp/>
        <stp>BDH|14830854759842826699</stp>
        <tr r="X29" s="3"/>
      </tp>
      <tp t="s">
        <v>#N/A N/A</v>
        <stp/>
        <stp>BDH|17133663679982201982</stp>
        <tr r="I14" s="2"/>
      </tp>
      <tp t="s">
        <v>#N/A N/A</v>
        <stp/>
        <stp>BDH|14244707540892620802</stp>
        <tr r="I44" s="3"/>
      </tp>
      <tp t="s">
        <v>#N/A N/A</v>
        <stp/>
        <stp>BDH|10578304781063497540</stp>
        <tr r="S14" s="3"/>
      </tp>
      <tp t="s">
        <v>#N/A N/A</v>
        <stp/>
        <stp>BDH|11293327896210477664</stp>
        <tr r="M52" s="3"/>
      </tp>
      <tp t="s">
        <v>#N/A N/A</v>
        <stp/>
        <stp>BDH|10207423835903706965</stp>
        <tr r="O39" s="2"/>
      </tp>
      <tp t="s">
        <v>#N/A N/A</v>
        <stp/>
        <stp>BDH|18400536753231782471</stp>
        <tr r="U41" s="2"/>
      </tp>
      <tp t="s">
        <v>#N/A N/A</v>
        <stp/>
        <stp>BDH|10658911645096296641</stp>
        <tr r="R58" s="3"/>
      </tp>
      <tp t="s">
        <v>#N/A N/A</v>
        <stp/>
        <stp>BDH|16570857705442748162</stp>
        <tr r="T61" s="2"/>
      </tp>
      <tp t="s">
        <v>#N/A N/A</v>
        <stp/>
        <stp>BDH|11848951033364257285</stp>
        <tr r="E71" s="3"/>
      </tp>
      <tp t="s">
        <v>#N/A N/A</v>
        <stp/>
        <stp>BDH|13436070395726427163</stp>
        <tr r="I23" s="3"/>
      </tp>
      <tp t="s">
        <v>#N/A N/A</v>
        <stp/>
        <stp>BDH|17928936879114191068</stp>
        <tr r="Z26" s="2"/>
      </tp>
      <tp t="s">
        <v>#N/A N/A</v>
        <stp/>
        <stp>BDH|11079355673501684974</stp>
        <tr r="Z22" s="3"/>
      </tp>
      <tp t="s">
        <v>#N/A N/A</v>
        <stp/>
        <stp>BDH|16471062287217147438</stp>
        <tr r="P9" s="2"/>
      </tp>
      <tp t="s">
        <v>#N/A N/A</v>
        <stp/>
        <stp>BDH|17595966316347778551</stp>
        <tr r="G69" s="2"/>
      </tp>
      <tp t="s">
        <v>#N/A N/A</v>
        <stp/>
        <stp>BDH|12683472764139135436</stp>
        <tr r="S49" s="4"/>
      </tp>
      <tp t="s">
        <v>#N/A N/A</v>
        <stp/>
        <stp>BDH|18060197555797226698</stp>
        <tr r="L64" s="2"/>
      </tp>
      <tp t="s">
        <v>#N/A N/A</v>
        <stp/>
        <stp>BDH|12332452730031468954</stp>
        <tr r="Z45" s="3"/>
      </tp>
      <tp t="s">
        <v>#N/A N/A</v>
        <stp/>
        <stp>BDH|17778859857163556479</stp>
        <tr r="U44" s="3"/>
      </tp>
      <tp t="s">
        <v>#N/A N/A</v>
        <stp/>
        <stp>BDH|13639690992411214084</stp>
        <tr r="E44" s="4"/>
      </tp>
      <tp t="s">
        <v>#N/A N/A</v>
        <stp/>
        <stp>BDH|12598423044029725639</stp>
        <tr r="N82" s="3"/>
      </tp>
      <tp t="s">
        <v>#N/A N/A</v>
        <stp/>
        <stp>BDH|16924790996052093702</stp>
        <tr r="J67" s="3"/>
      </tp>
      <tp t="s">
        <v>#N/A N/A</v>
        <stp/>
        <stp>BDH|13912039980163993558</stp>
        <tr r="M41" s="4"/>
      </tp>
      <tp t="s">
        <v>#N/A N/A</v>
        <stp/>
        <stp>BDH|14791416579012801817</stp>
        <tr r="D21" s="4"/>
      </tp>
      <tp t="s">
        <v>#N/A N/A</v>
        <stp/>
        <stp>BDH|10653467837029844395</stp>
        <tr r="H12" s="3"/>
      </tp>
      <tp t="s">
        <v>#N/A N/A</v>
        <stp/>
        <stp>BDH|15320788904896905900</stp>
        <tr r="O47" s="3"/>
      </tp>
      <tp t="s">
        <v>#N/A N/A</v>
        <stp/>
        <stp>BDH|15399879507752016256</stp>
        <tr r="G50" s="2"/>
      </tp>
      <tp t="s">
        <v>#N/A N/A</v>
        <stp/>
        <stp>BDH|15307879903778587840</stp>
        <tr r="E29" s="4"/>
      </tp>
      <tp t="s">
        <v>#N/A N/A</v>
        <stp/>
        <stp>BDH|10166611387485873691</stp>
        <tr r="U15" s="2"/>
      </tp>
      <tp t="s">
        <v>#N/A N/A</v>
        <stp/>
        <stp>BDH|11772987080888158589</stp>
        <tr r="R89" s="3"/>
      </tp>
      <tp t="s">
        <v>#N/A N/A</v>
        <stp/>
        <stp>BDH|12947980483529833738</stp>
        <tr r="M61" s="2"/>
      </tp>
      <tp t="s">
        <v>#N/A N/A</v>
        <stp/>
        <stp>BDH|10066057923189792680</stp>
        <tr r="P71" s="3"/>
      </tp>
      <tp t="s">
        <v>#N/A N/A</v>
        <stp/>
        <stp>BDH|10590973552692058390</stp>
        <tr r="E32" s="3"/>
      </tp>
      <tp t="s">
        <v>#N/A N/A</v>
        <stp/>
        <stp>BDH|10609985602837647331</stp>
        <tr r="S47" s="4"/>
      </tp>
      <tp t="s">
        <v>#N/A N/A</v>
        <stp/>
        <stp>BDH|13913919520513762663</stp>
        <tr r="G33" s="4"/>
      </tp>
      <tp t="s">
        <v>#N/A N/A</v>
        <stp/>
        <stp>BDH|17578138040408843771</stp>
        <tr r="F62" s="2"/>
      </tp>
      <tp t="s">
        <v>#N/A N/A</v>
        <stp/>
        <stp>BDH|10837501242828460471</stp>
        <tr r="V64" s="3"/>
      </tp>
      <tp t="s">
        <v>#N/A N/A</v>
        <stp/>
        <stp>BDH|15799723856012830828</stp>
        <tr r="T11" s="2"/>
      </tp>
      <tp t="s">
        <v>#N/A N/A</v>
        <stp/>
        <stp>BDH|17814407518617906807</stp>
        <tr r="M8" s="2"/>
      </tp>
      <tp t="s">
        <v>#N/A N/A</v>
        <stp/>
        <stp>BDH|12400940076409918860</stp>
        <tr r="F50" s="3"/>
      </tp>
      <tp t="s">
        <v>#N/A N/A</v>
        <stp/>
        <stp>BDH|12854507090600785368</stp>
        <tr r="J72" s="3"/>
      </tp>
      <tp t="s">
        <v>#N/A N/A</v>
        <stp/>
        <stp>BDH|12876965202306798033</stp>
        <tr r="C83" s="3"/>
      </tp>
      <tp t="s">
        <v>#N/A N/A</v>
        <stp/>
        <stp>BDH|14788139449955769924</stp>
        <tr r="R40" s="3"/>
      </tp>
      <tp t="s">
        <v>#N/A N/A</v>
        <stp/>
        <stp>BDH|15362803239092283101</stp>
        <tr r="J27" s="2"/>
      </tp>
      <tp t="s">
        <v>#N/A N/A</v>
        <stp/>
        <stp>BDH|16566088257496603849</stp>
        <tr r="P15" s="3"/>
      </tp>
      <tp t="s">
        <v>#N/A N/A</v>
        <stp/>
        <stp>BDH|10842660784233067023</stp>
        <tr r="F26" s="2"/>
      </tp>
      <tp t="s">
        <v>#N/A N/A</v>
        <stp/>
        <stp>BDH|15981168282951584000</stp>
        <tr r="F48" s="4"/>
      </tp>
      <tp t="s">
        <v>#N/A N/A</v>
        <stp/>
        <stp>BDH|16095000930239366181</stp>
        <tr r="H67" s="2"/>
      </tp>
      <tp t="s">
        <v>#N/A N/A</v>
        <stp/>
        <stp>BDH|16639283036729355302</stp>
        <tr r="N15" s="3"/>
      </tp>
      <tp t="s">
        <v>#N/A N/A</v>
        <stp/>
        <stp>BDH|13965735781303979297</stp>
        <tr r="N13" s="4"/>
      </tp>
      <tp t="s">
        <v>#N/A N/A</v>
        <stp/>
        <stp>BDH|13303786862506009923</stp>
        <tr r="F42" s="3"/>
      </tp>
      <tp t="s">
        <v>#N/A N/A</v>
        <stp/>
        <stp>BDH|14865950394170741954</stp>
        <tr r="Z7" s="4"/>
      </tp>
      <tp t="s">
        <v>#N/A N/A</v>
        <stp/>
        <stp>BDH|11732143577648620292</stp>
        <tr r="H56" s="3"/>
      </tp>
      <tp t="s">
        <v>#N/A N/A</v>
        <stp/>
        <stp>BDH|17678457075299907058</stp>
        <tr r="N42" s="4"/>
      </tp>
      <tp t="s">
        <v>#N/A N/A</v>
        <stp/>
        <stp>BDH|10385992756298245943</stp>
        <tr r="P42" s="3"/>
      </tp>
      <tp t="s">
        <v>#N/A N/A</v>
        <stp/>
        <stp>BDH|12314719633363228894</stp>
        <tr r="D48" s="4"/>
      </tp>
      <tp t="s">
        <v>#N/A N/A</v>
        <stp/>
        <stp>BDH|18217256066838335981</stp>
        <tr r="D59" s="3"/>
      </tp>
      <tp t="s">
        <v>#N/A N/A</v>
        <stp/>
        <stp>BDH|10949532753264054932</stp>
        <tr r="I34" s="4"/>
      </tp>
      <tp t="s">
        <v>#N/A N/A</v>
        <stp/>
        <stp>BDH|17549915267000905501</stp>
        <tr r="I18" s="4"/>
      </tp>
      <tp t="s">
        <v>#N/A N/A</v>
        <stp/>
        <stp>BDH|14574260694715497799</stp>
        <tr r="X31" s="3"/>
      </tp>
      <tp t="s">
        <v>#N/A N/A</v>
        <stp/>
        <stp>BDH|16062216099982282207</stp>
        <tr r="I45" s="4"/>
      </tp>
      <tp t="s">
        <v>#N/A N/A</v>
        <stp/>
        <stp>BDH|17433620665349034396</stp>
        <tr r="C15" s="3"/>
      </tp>
      <tp t="s">
        <v>#N/A N/A</v>
        <stp/>
        <stp>BDH|16263212508699170001</stp>
        <tr r="Z12" s="4"/>
      </tp>
      <tp t="s">
        <v>#N/A N/A</v>
        <stp/>
        <stp>BDH|13595495836260728978</stp>
        <tr r="S16" s="4"/>
      </tp>
      <tp t="s">
        <v>#N/A N/A</v>
        <stp/>
        <stp>BDH|13330204758508289149</stp>
        <tr r="V60" s="4"/>
      </tp>
      <tp t="s">
        <v>#N/A N/A</v>
        <stp/>
        <stp>BDH|10611937688409857585</stp>
        <tr r="L40" s="2"/>
      </tp>
      <tp t="s">
        <v>#N/A N/A</v>
        <stp/>
        <stp>BDH|11091599111160776826</stp>
        <tr r="F55" s="2"/>
      </tp>
      <tp t="s">
        <v>#N/A N/A</v>
        <stp/>
        <stp>BDH|12615495852297608961</stp>
        <tr r="I25" s="4"/>
      </tp>
      <tp t="s">
        <v>#N/A N/A</v>
        <stp/>
        <stp>BDH|12828684847974980932</stp>
        <tr r="M21" s="2"/>
      </tp>
      <tp t="s">
        <v>#N/A N/A</v>
        <stp/>
        <stp>BDH|14458934119705428470</stp>
        <tr r="W55" s="2"/>
      </tp>
      <tp t="s">
        <v>#N/A N/A</v>
        <stp/>
        <stp>BDH|17762303379306571865</stp>
        <tr r="Y33" s="3"/>
      </tp>
      <tp t="s">
        <v>#N/A N/A</v>
        <stp/>
        <stp>BDH|10651899314560322441</stp>
        <tr r="G52" s="4"/>
      </tp>
      <tp t="s">
        <v>#N/A N/A</v>
        <stp/>
        <stp>BDH|15860045680896513653</stp>
        <tr r="F67" s="2"/>
      </tp>
      <tp t="s">
        <v>#N/A N/A</v>
        <stp/>
        <stp>BDH|17839570134139531528</stp>
        <tr r="R55" s="2"/>
      </tp>
      <tp t="s">
        <v>#N/A N/A</v>
        <stp/>
        <stp>BDH|15196799311907031953</stp>
        <tr r="U87" s="3"/>
      </tp>
      <tp t="s">
        <v>#N/A N/A</v>
        <stp/>
        <stp>BDH|13555196183016430178</stp>
        <tr r="G13" s="4"/>
      </tp>
      <tp t="s">
        <v>#N/A N/A</v>
        <stp/>
        <stp>BDH|15373103707480888900</stp>
        <tr r="N69" s="3"/>
      </tp>
      <tp t="s">
        <v>#N/A N/A</v>
        <stp/>
        <stp>BDH|12351663867957642886</stp>
        <tr r="T28" s="4"/>
      </tp>
      <tp t="s">
        <v>#N/A N/A</v>
        <stp/>
        <stp>BDH|18099229714101239783</stp>
        <tr r="V39" s="3"/>
      </tp>
      <tp t="s">
        <v>#N/A N/A</v>
        <stp/>
        <stp>BDH|17972631584264795058</stp>
        <tr r="C48" s="4"/>
      </tp>
      <tp t="s">
        <v>#N/A N/A</v>
        <stp/>
        <stp>BDH|11888298249499101350</stp>
        <tr r="C41" s="3"/>
      </tp>
      <tp t="s">
        <v>#N/A N/A</v>
        <stp/>
        <stp>BDH|18138135692599783480</stp>
        <tr r="V38" s="2"/>
      </tp>
      <tp t="s">
        <v>#N/A N/A</v>
        <stp/>
        <stp>BDH|18350708649603625532</stp>
        <tr r="E21" s="2"/>
      </tp>
      <tp t="s">
        <v>#N/A N/A</v>
        <stp/>
        <stp>BDH|15780185113671135922</stp>
        <tr r="J41" s="3"/>
      </tp>
      <tp t="s">
        <v>#N/A N/A</v>
        <stp/>
        <stp>BDH|15916809501794294458</stp>
        <tr r="N85" s="3"/>
      </tp>
      <tp t="s">
        <v>#N/A N/A</v>
        <stp/>
        <stp>BDH|12043283768899646297</stp>
        <tr r="I66" s="3"/>
      </tp>
      <tp t="s">
        <v>#N/A N/A</v>
        <stp/>
        <stp>BDH|16749981454452158557</stp>
        <tr r="U33" s="2"/>
      </tp>
      <tp t="s">
        <v>#N/A N/A</v>
        <stp/>
        <stp>BDH|17365948238770683060</stp>
        <tr r="J13" s="2"/>
      </tp>
      <tp t="s">
        <v>#N/A N/A</v>
        <stp/>
        <stp>BDH|15237389887295376605</stp>
        <tr r="I56" s="3"/>
      </tp>
      <tp t="s">
        <v>#N/A N/A</v>
        <stp/>
        <stp>BDH|12189944500385907320</stp>
        <tr r="H23" s="4"/>
      </tp>
      <tp t="s">
        <v>#N/A N/A</v>
        <stp/>
        <stp>BDH|13764951874841193197</stp>
        <tr r="W9" s="3"/>
      </tp>
      <tp t="s">
        <v>#N/A N/A</v>
        <stp/>
        <stp>BDH|13561307778143155924</stp>
        <tr r="Y73" s="3"/>
      </tp>
      <tp t="s">
        <v>#N/A N/A</v>
        <stp/>
        <stp>BDH|15713879305378234899</stp>
        <tr r="S64" s="2"/>
      </tp>
      <tp t="s">
        <v>#N/A N/A</v>
        <stp/>
        <stp>BDH|13875808627116199200</stp>
        <tr r="E92" s="3"/>
      </tp>
      <tp t="s">
        <v>#N/A N/A</v>
        <stp/>
        <stp>BDH|13860406762374036846</stp>
        <tr r="R17" s="4"/>
      </tp>
      <tp t="s">
        <v>#N/A N/A</v>
        <stp/>
        <stp>BDH|12174962836678008209</stp>
        <tr r="M68" s="2"/>
      </tp>
      <tp t="s">
        <v>#N/A N/A</v>
        <stp/>
        <stp>BDH|11533572264356091673</stp>
        <tr r="L52" s="3"/>
      </tp>
      <tp t="s">
        <v>#N/A N/A</v>
        <stp/>
        <stp>BDH|15416384698514090955</stp>
        <tr r="V16" s="2"/>
      </tp>
      <tp t="s">
        <v>#N/A N/A</v>
        <stp/>
        <stp>BDH|12777745464156577735</stp>
        <tr r="O23" s="3"/>
      </tp>
      <tp t="s">
        <v>#N/A N/A</v>
        <stp/>
        <stp>BDH|15541374110753256615</stp>
        <tr r="X49" s="3"/>
      </tp>
      <tp t="s">
        <v>#N/A N/A</v>
        <stp/>
        <stp>BDH|16806711648425282236</stp>
        <tr r="S19" s="3"/>
      </tp>
      <tp t="s">
        <v>#N/A N/A</v>
        <stp/>
        <stp>BDH|13860747089866340867</stp>
        <tr r="T52" s="2"/>
      </tp>
      <tp t="s">
        <v>#N/A N/A</v>
        <stp/>
        <stp>BDH|14064533103432784173</stp>
        <tr r="M26" s="3"/>
      </tp>
      <tp t="s">
        <v>#N/A N/A</v>
        <stp/>
        <stp>BDH|10549147002607281412</stp>
        <tr r="P7" s="4"/>
      </tp>
      <tp t="s">
        <v>#N/A N/A</v>
        <stp/>
        <stp>BDH|11786335007832111226</stp>
        <tr r="K50" s="3"/>
      </tp>
      <tp t="s">
        <v>#N/A N/A</v>
        <stp/>
        <stp>BDH|18203701651610716844</stp>
        <tr r="L56" s="3"/>
      </tp>
      <tp t="s">
        <v>#N/A N/A</v>
        <stp/>
        <stp>BDH|14832292271804895780</stp>
        <tr r="X16" s="3"/>
      </tp>
      <tp t="s">
        <v>#N/A N/A</v>
        <stp/>
        <stp>BDH|12551880189151769135</stp>
        <tr r="J29" s="4"/>
      </tp>
      <tp t="s">
        <v>#N/A N/A</v>
        <stp/>
        <stp>BDH|16292900672883138914</stp>
        <tr r="Z52" s="3"/>
      </tp>
      <tp t="s">
        <v>#N/A N/A</v>
        <stp/>
        <stp>BDH|11525201400788571906</stp>
        <tr r="Z47" s="3"/>
      </tp>
      <tp t="s">
        <v>#N/A N/A</v>
        <stp/>
        <stp>BDH|11527327963086769037</stp>
        <tr r="T8" s="4"/>
      </tp>
      <tp t="s">
        <v>#N/A N/A</v>
        <stp/>
        <stp>BDH|15659739338772616183</stp>
        <tr r="Y39" s="2"/>
      </tp>
      <tp t="s">
        <v>#N/A N/A</v>
        <stp/>
        <stp>BDH|14016483826281479198</stp>
        <tr r="M11" s="2"/>
      </tp>
      <tp t="s">
        <v>#N/A N/A</v>
        <stp/>
        <stp>BDH|10898674412082722790</stp>
        <tr r="P6" s="2"/>
      </tp>
      <tp t="s">
        <v>#N/A N/A</v>
        <stp/>
        <stp>BDH|11541161054657190054</stp>
        <tr r="Y70" s="2"/>
      </tp>
      <tp t="s">
        <v>#N/A N/A</v>
        <stp/>
        <stp>BDH|17611813549048968149</stp>
        <tr r="U64" s="2"/>
      </tp>
      <tp t="s">
        <v>#N/A N/A</v>
        <stp/>
        <stp>BDH|11443765300842667673</stp>
        <tr r="R25" s="2"/>
      </tp>
      <tp t="s">
        <v>#N/A N/A</v>
        <stp/>
        <stp>BDH|15210457516263757152</stp>
        <tr r="M27" s="2"/>
      </tp>
      <tp t="s">
        <v>#N/A N/A</v>
        <stp/>
        <stp>BDH|11183314817951106057</stp>
        <tr r="D47" s="4"/>
      </tp>
      <tp t="s">
        <v>#N/A N/A</v>
        <stp/>
        <stp>BDH|13020760706443769542</stp>
        <tr r="H20" s="3"/>
      </tp>
      <tp t="s">
        <v>#N/A N/A</v>
        <stp/>
        <stp>BDH|17256689819984835684</stp>
        <tr r="O65" s="4"/>
      </tp>
      <tp t="s">
        <v>#N/A N/A</v>
        <stp/>
        <stp>BDH|18196020966285289947</stp>
        <tr r="Z21" s="4"/>
      </tp>
      <tp t="s">
        <v>#N/A N/A</v>
        <stp/>
        <stp>BDH|10188500281507166832</stp>
        <tr r="C53" s="3"/>
      </tp>
      <tp t="s">
        <v>#N/A N/A</v>
        <stp/>
        <stp>BDH|17032454307516999795</stp>
        <tr r="E43" s="4"/>
      </tp>
      <tp t="s">
        <v>#N/A N/A</v>
        <stp/>
        <stp>BDH|14987595821671707047</stp>
        <tr r="Z57" s="3"/>
      </tp>
      <tp t="s">
        <v>#N/A N/A</v>
        <stp/>
        <stp>BDH|10652764971075262714</stp>
        <tr r="S12" s="3"/>
      </tp>
      <tp t="s">
        <v>#N/A N/A</v>
        <stp/>
        <stp>BDH|10438736795065530955</stp>
        <tr r="U24" s="4"/>
      </tp>
      <tp t="s">
        <v>#N/A N/A</v>
        <stp/>
        <stp>BDH|17112703478040209591</stp>
        <tr r="U27" s="4"/>
      </tp>
      <tp t="s">
        <v>#N/A N/A</v>
        <stp/>
        <stp>BDH|11326033813467614576</stp>
        <tr r="C57" s="2"/>
      </tp>
      <tp t="s">
        <v>#N/A N/A</v>
        <stp/>
        <stp>BDH|15119640537125369731</stp>
        <tr r="E46" s="4"/>
      </tp>
      <tp t="s">
        <v>#N/A N/A</v>
        <stp/>
        <stp>BDH|11655106425844983484</stp>
        <tr r="F18" s="4"/>
      </tp>
      <tp t="s">
        <v>#N/A N/A</v>
        <stp/>
        <stp>BDH|15792253674573100158</stp>
        <tr r="Z91" s="3"/>
      </tp>
      <tp t="s">
        <v>#N/A N/A</v>
        <stp/>
        <stp>BDH|11278610768885999603</stp>
        <tr r="S84" s="3"/>
      </tp>
      <tp t="s">
        <v>#N/A N/A</v>
        <stp/>
        <stp>BDH|11581429034734577044</stp>
        <tr r="D31" s="4"/>
      </tp>
      <tp t="s">
        <v>#N/A N/A</v>
        <stp/>
        <stp>BDH|13155402841445322415</stp>
        <tr r="N15" s="4"/>
      </tp>
      <tp t="s">
        <v>#N/A N/A</v>
        <stp/>
        <stp>BDH|11979636464743403082</stp>
        <tr r="C14" s="3"/>
      </tp>
      <tp t="s">
        <v>#N/A N/A</v>
        <stp/>
        <stp>BDH|15974155728977877397</stp>
        <tr r="K11" s="4"/>
      </tp>
      <tp t="s">
        <v>#N/A N/A</v>
        <stp/>
        <stp>BDH|14440003831647698262</stp>
        <tr r="N29" s="2"/>
      </tp>
      <tp t="s">
        <v>#N/A N/A</v>
        <stp/>
        <stp>BDH|11175213554844526041</stp>
        <tr r="K22" s="4"/>
      </tp>
      <tp t="s">
        <v>#N/A N/A</v>
        <stp/>
        <stp>BDH|17252930732696140979</stp>
        <tr r="X41" s="2"/>
      </tp>
      <tp t="s">
        <v>#N/A N/A</v>
        <stp/>
        <stp>BDH|13428606698829983707</stp>
        <tr r="D51" s="3"/>
      </tp>
      <tp t="s">
        <v>#N/A N/A</v>
        <stp/>
        <stp>BDH|12643742152453416110</stp>
        <tr r="S25" s="4"/>
      </tp>
      <tp t="s">
        <v>#N/A N/A</v>
        <stp/>
        <stp>BDH|13400253951952192441</stp>
        <tr r="X33" s="4"/>
      </tp>
      <tp t="s">
        <v>#N/A N/A</v>
        <stp/>
        <stp>BDH|16254444236743129046</stp>
        <tr r="L18" s="3"/>
      </tp>
      <tp t="s">
        <v>#N/A N/A</v>
        <stp/>
        <stp>BDH|11275602987505539852</stp>
        <tr r="P31" s="2"/>
      </tp>
      <tp t="s">
        <v>#N/A N/A</v>
        <stp/>
        <stp>BDH|14169904155743834996</stp>
        <tr r="W15" s="3"/>
      </tp>
      <tp t="s">
        <v>#N/A N/A</v>
        <stp/>
        <stp>BDH|11541074306220440351</stp>
        <tr r="D17" s="3"/>
      </tp>
      <tp t="s">
        <v>#N/A N/A</v>
        <stp/>
        <stp>BDH|14921873024859768589</stp>
        <tr r="K51" s="3"/>
      </tp>
      <tp t="s">
        <v>#N/A N/A</v>
        <stp/>
        <stp>BDH|16490765800730447339</stp>
        <tr r="X45" s="3"/>
      </tp>
      <tp t="s">
        <v>#N/A N/A</v>
        <stp/>
        <stp>BDH|15808892132158130475</stp>
        <tr r="F65" s="2"/>
      </tp>
      <tp t="s">
        <v>#N/A N/A</v>
        <stp/>
        <stp>BDH|11251600017611399521</stp>
        <tr r="J11" s="4"/>
      </tp>
      <tp t="s">
        <v>#N/A N/A</v>
        <stp/>
        <stp>BDH|16786220180779519744</stp>
        <tr r="R8" s="3"/>
      </tp>
      <tp t="s">
        <v>#N/A N/A</v>
        <stp/>
        <stp>BDH|18210818864037278314</stp>
        <tr r="J7" s="4"/>
      </tp>
      <tp t="s">
        <v>#N/A N/A</v>
        <stp/>
        <stp>BDH|16213814537756794974</stp>
        <tr r="L72" s="2"/>
      </tp>
      <tp t="s">
        <v>#N/A N/A</v>
        <stp/>
        <stp>BDH|11149607291694294860</stp>
        <tr r="K60" s="3"/>
      </tp>
      <tp t="s">
        <v>#N/A N/A</v>
        <stp/>
        <stp>BDH|13550590155097955643</stp>
        <tr r="Q7" s="4"/>
      </tp>
      <tp t="s">
        <v>#N/A N/A</v>
        <stp/>
        <stp>BDH|18435490587465811365</stp>
        <tr r="O63" s="4"/>
      </tp>
      <tp t="s">
        <v>#N/A N/A</v>
        <stp/>
        <stp>BDH|12434345249732573585</stp>
        <tr r="P43" s="2"/>
      </tp>
      <tp t="s">
        <v>#N/A N/A</v>
        <stp/>
        <stp>BDH|10538130323353671275</stp>
        <tr r="M12" s="4"/>
      </tp>
      <tp t="s">
        <v>#N/A N/A</v>
        <stp/>
        <stp>BDH|16599527511861519175</stp>
        <tr r="O94" s="3"/>
      </tp>
      <tp t="s">
        <v>#N/A N/A</v>
        <stp/>
        <stp>BDH|13329227335166525656</stp>
        <tr r="K60" s="4"/>
      </tp>
      <tp t="s">
        <v>#N/A N/A</v>
        <stp/>
        <stp>BDH|15862524017634956701</stp>
        <tr r="F30" s="4"/>
      </tp>
      <tp t="s">
        <v>#N/A N/A</v>
        <stp/>
        <stp>BDH|14880609067577354181</stp>
        <tr r="X70" s="3"/>
      </tp>
      <tp t="s">
        <v>#N/A N/A</v>
        <stp/>
        <stp>BDH|16688559001093463222</stp>
        <tr r="E68" s="2"/>
      </tp>
      <tp t="s">
        <v>#N/A N/A</v>
        <stp/>
        <stp>BDH|12285521898929982563</stp>
        <tr r="V54" s="2"/>
      </tp>
      <tp t="s">
        <v>#N/A N/A</v>
        <stp/>
        <stp>BDH|11670030707904316760</stp>
        <tr r="J22" s="2"/>
      </tp>
      <tp t="s">
        <v>#N/A N/A</v>
        <stp/>
        <stp>BDH|16077543619911820120</stp>
        <tr r="K34" s="2"/>
      </tp>
      <tp t="s">
        <v>#N/A N/A</v>
        <stp/>
        <stp>BDH|14330501476113543779</stp>
        <tr r="V26" s="2"/>
      </tp>
      <tp t="s">
        <v>#N/A N/A</v>
        <stp/>
        <stp>BDH|13328448965192648131</stp>
        <tr r="J46" s="2"/>
      </tp>
      <tp t="s">
        <v>#N/A N/A</v>
        <stp/>
        <stp>BDH|11844162290503998807</stp>
        <tr r="M46" s="2"/>
      </tp>
      <tp t="s">
        <v>#N/A N/A</v>
        <stp/>
        <stp>BDH|13646329147094418201</stp>
        <tr r="I7" s="3"/>
      </tp>
      <tp t="s">
        <v>#N/A N/A</v>
        <stp/>
        <stp>BDH|12133059560955269316</stp>
        <tr r="H66" s="4"/>
      </tp>
      <tp t="s">
        <v>#N/A N/A</v>
        <stp/>
        <stp>BDH|16956026847427932725</stp>
        <tr r="L58" s="4"/>
      </tp>
      <tp t="s">
        <v>#N/A N/A</v>
        <stp/>
        <stp>BDH|10000138703863240051</stp>
        <tr r="E10" s="4"/>
      </tp>
      <tp t="s">
        <v>#N/A N/A</v>
        <stp/>
        <stp>BDH|15622925465290288849</stp>
        <tr r="X43" s="4"/>
      </tp>
      <tp t="s">
        <v>#N/A N/A</v>
        <stp/>
        <stp>BDH|10386043441787171111</stp>
        <tr r="K49" s="4"/>
      </tp>
      <tp t="s">
        <v>#N/A N/A</v>
        <stp/>
        <stp>BDH|10527453613173483417</stp>
        <tr r="I12" s="2"/>
      </tp>
      <tp t="s">
        <v>#N/A N/A</v>
        <stp/>
        <stp>BDH|10450226406807291743</stp>
        <tr r="V22" s="3"/>
      </tp>
      <tp t="s">
        <v>#N/A N/A</v>
        <stp/>
        <stp>BDH|15045541855620631710</stp>
        <tr r="D16" s="4"/>
      </tp>
      <tp t="s">
        <v>#N/A N/A</v>
        <stp/>
        <stp>BDH|13013488944418143942</stp>
        <tr r="C22" s="4"/>
      </tp>
      <tp t="s">
        <v>#N/A N/A</v>
        <stp/>
        <stp>BDH|15863461000944065772</stp>
        <tr r="J10" s="2"/>
      </tp>
      <tp t="s">
        <v>#N/A N/A</v>
        <stp/>
        <stp>BDH|14253750733521593387</stp>
        <tr r="Z57" s="2"/>
      </tp>
      <tp t="s">
        <v>#N/A N/A</v>
        <stp/>
        <stp>BDH|11611160019503599051</stp>
        <tr r="Z29" s="2"/>
      </tp>
      <tp t="s">
        <v>#N/A N/A</v>
        <stp/>
        <stp>BDH|10272184280883549863</stp>
        <tr r="Y23" s="3"/>
      </tp>
      <tp t="s">
        <v>#N/A N/A</v>
        <stp/>
        <stp>BDH|17646955412428848503</stp>
        <tr r="I16" s="2"/>
      </tp>
      <tp t="s">
        <v>#N/A N/A</v>
        <stp/>
        <stp>BDH|11929902175025579806</stp>
        <tr r="Q12" s="4"/>
      </tp>
      <tp t="s">
        <v>#N/A N/A</v>
        <stp/>
        <stp>BDH|12100690468115124583</stp>
        <tr r="Q78" s="3"/>
      </tp>
      <tp t="s">
        <v>#N/A N/A</v>
        <stp/>
        <stp>BDH|17846049292114599822</stp>
        <tr r="T67" s="2"/>
      </tp>
      <tp t="s">
        <v>#N/A N/A</v>
        <stp/>
        <stp>BDH|13845806682014165521</stp>
        <tr r="J23" s="2"/>
      </tp>
      <tp t="s">
        <v>#N/A N/A</v>
        <stp/>
        <stp>BDH|15520394271587625439</stp>
        <tr r="K46" s="4"/>
      </tp>
      <tp t="s">
        <v>#N/A N/A</v>
        <stp/>
        <stp>BDH|13923838391660535067</stp>
        <tr r="K38" s="2"/>
      </tp>
      <tp t="s">
        <v>#N/A N/A</v>
        <stp/>
        <stp>BDH|15176914796880997772</stp>
        <tr r="Z52" s="2"/>
      </tp>
      <tp t="s">
        <v>#N/A N/A</v>
        <stp/>
        <stp>BDH|13601393519872944146</stp>
        <tr r="G87" s="3"/>
      </tp>
      <tp t="s">
        <v>#N/A N/A</v>
        <stp/>
        <stp>BDH|14945724009803897218</stp>
        <tr r="F82" s="3"/>
      </tp>
      <tp t="s">
        <v>#N/A N/A</v>
        <stp/>
        <stp>BDH|16759782422129119879</stp>
        <tr r="K66" s="3"/>
      </tp>
      <tp t="s">
        <v>#N/A N/A</v>
        <stp/>
        <stp>BDH|16432558311966836630</stp>
        <tr r="K35" s="4"/>
      </tp>
      <tp t="s">
        <v>#N/A N/A</v>
        <stp/>
        <stp>BDH|17704548864013582596</stp>
        <tr r="Q75" s="3"/>
      </tp>
      <tp t="s">
        <v>#N/A N/A</v>
        <stp/>
        <stp>BDH|18094348468759602610</stp>
        <tr r="H65" s="2"/>
      </tp>
      <tp t="s">
        <v>#N/A N/A</v>
        <stp/>
        <stp>BDH|14823071635727118201</stp>
        <tr r="N51" s="3"/>
      </tp>
      <tp t="s">
        <v>#N/A N/A</v>
        <stp/>
        <stp>BDH|17356438129680648354</stp>
        <tr r="N33" s="2"/>
      </tp>
      <tp t="s">
        <v>#N/A N/A</v>
        <stp/>
        <stp>BDH|18383972723448411994</stp>
        <tr r="D77" s="3"/>
      </tp>
      <tp t="s">
        <v>#N/A N/A</v>
        <stp/>
        <stp>BDH|10316639110730234587</stp>
        <tr r="O12" s="2"/>
      </tp>
      <tp t="s">
        <v>#N/A N/A</v>
        <stp/>
        <stp>BDH|13774796550826371577</stp>
        <tr r="J69" s="3"/>
      </tp>
      <tp t="s">
        <v>#N/A N/A</v>
        <stp/>
        <stp>BDH|17541380079389731897</stp>
        <tr r="Y60" s="3"/>
      </tp>
      <tp t="s">
        <v>#N/A N/A</v>
        <stp/>
        <stp>BDH|15448748747422501689</stp>
        <tr r="L26" s="2"/>
      </tp>
      <tp t="s">
        <v>#N/A N/A</v>
        <stp/>
        <stp>BDH|10362545940523846053</stp>
        <tr r="G46" s="3"/>
      </tp>
      <tp t="s">
        <v>#N/A N/A</v>
        <stp/>
        <stp>BDH|15850314687355374971</stp>
        <tr r="W54" s="2"/>
      </tp>
      <tp t="s">
        <v>#N/A N/A</v>
        <stp/>
        <stp>BDH|12084608848347406518</stp>
        <tr r="I67" s="3"/>
      </tp>
      <tp t="s">
        <v>#N/A N/A</v>
        <stp/>
        <stp>BDH|11911327826731693367</stp>
        <tr r="N30" s="2"/>
      </tp>
      <tp t="s">
        <v>#N/A N/A</v>
        <stp/>
        <stp>BDH|11191736327724142291</stp>
        <tr r="F24" s="2"/>
      </tp>
      <tp t="s">
        <v>#N/A N/A</v>
        <stp/>
        <stp>BDH|14476527545972750590</stp>
        <tr r="X66" s="3"/>
      </tp>
      <tp t="s">
        <v>#N/A N/A</v>
        <stp/>
        <stp>BDH|11485763238530180765</stp>
        <tr r="Z59" s="3"/>
      </tp>
      <tp t="s">
        <v>#N/A N/A</v>
        <stp/>
        <stp>BDH|13177329497618838319</stp>
        <tr r="S43" s="4"/>
      </tp>
      <tp t="s">
        <v>#N/A N/A</v>
        <stp/>
        <stp>BDH|11958459823015682046</stp>
        <tr r="F25" s="2"/>
      </tp>
      <tp t="s">
        <v>#N/A N/A</v>
        <stp/>
        <stp>BDH|15739837382422356581</stp>
        <tr r="E54" s="3"/>
      </tp>
      <tp t="s">
        <v>#N/A N/A</v>
        <stp/>
        <stp>BDH|11080334925766808422</stp>
        <tr r="Q59" s="4"/>
      </tp>
      <tp t="s">
        <v>#N/A N/A</v>
        <stp/>
        <stp>BDH|14495897595720623723</stp>
        <tr r="T43" s="2"/>
      </tp>
      <tp t="s">
        <v>#N/A N/A</v>
        <stp/>
        <stp>BDH|13839472748905931428</stp>
        <tr r="Q13" s="3"/>
      </tp>
      <tp t="s">
        <v>#N/A N/A</v>
        <stp/>
        <stp>BDH|12787167799960006844</stp>
        <tr r="Q43" s="4"/>
      </tp>
      <tp t="s">
        <v>#N/A N/A</v>
        <stp/>
        <stp>BDH|17114111044338141892</stp>
        <tr r="E51" s="2"/>
      </tp>
      <tp t="s">
        <v>#N/A N/A</v>
        <stp/>
        <stp>BDH|13825530804690495478</stp>
        <tr r="I7" s="2"/>
      </tp>
      <tp t="s">
        <v>#N/A N/A</v>
        <stp/>
        <stp>BDH|14651097271591191006</stp>
        <tr r="X51" s="2"/>
      </tp>
      <tp t="s">
        <v>#N/A N/A</v>
        <stp/>
        <stp>BDH|16473808455571650882</stp>
        <tr r="X66" s="4"/>
      </tp>
      <tp t="s">
        <v>#N/A N/A</v>
        <stp/>
        <stp>BDH|15904820894187048105</stp>
        <tr r="Z84" s="3"/>
      </tp>
      <tp t="s">
        <v>#N/A N/A</v>
        <stp/>
        <stp>BDH|12998518042078196948</stp>
        <tr r="U27" s="3"/>
      </tp>
      <tp t="s">
        <v>#N/A N/A</v>
        <stp/>
        <stp>BDH|12301586574136345433</stp>
        <tr r="P17" s="4"/>
      </tp>
      <tp t="s">
        <v>#N/A N/A</v>
        <stp/>
        <stp>BDH|18250975677163527784</stp>
        <tr r="Y68" s="2"/>
      </tp>
      <tp t="s">
        <v>#N/A N/A</v>
        <stp/>
        <stp>BDH|14197755484909828071</stp>
        <tr r="N54" s="2"/>
      </tp>
      <tp t="s">
        <v>#N/A N/A</v>
        <stp/>
        <stp>BDH|16234194169761495282</stp>
        <tr r="Y82" s="3"/>
      </tp>
      <tp t="s">
        <v>#N/A N/A</v>
        <stp/>
        <stp>BDH|12243149200037833605</stp>
        <tr r="K90" s="3"/>
      </tp>
      <tp t="s">
        <v>#N/A N/A</v>
        <stp/>
        <stp>BDH|11307846828521530849</stp>
        <tr r="C57" s="3"/>
      </tp>
      <tp t="s">
        <v>#N/A N/A</v>
        <stp/>
        <stp>BDH|10951944534230492835</stp>
        <tr r="K48" s="3"/>
      </tp>
      <tp t="s">
        <v>#N/A N/A</v>
        <stp/>
        <stp>BDH|13609977488719335940</stp>
        <tr r="S7" s="4"/>
      </tp>
      <tp t="s">
        <v>#N/A N/A</v>
        <stp/>
        <stp>BDH|13920333952242524532</stp>
        <tr r="F59" s="4"/>
      </tp>
      <tp t="s">
        <v>#N/A N/A</v>
        <stp/>
        <stp>BDH|15587998790515036227</stp>
        <tr r="E34" s="3"/>
      </tp>
      <tp t="s">
        <v>#N/A N/A</v>
        <stp/>
        <stp>BDH|14990251352303320239</stp>
        <tr r="M55" s="3"/>
      </tp>
      <tp t="s">
        <v>#N/A N/A</v>
        <stp/>
        <stp>BDH|18337677958579323014</stp>
        <tr r="O17" s="2"/>
      </tp>
      <tp t="s">
        <v>#N/A N/A</v>
        <stp/>
        <stp>BDH|10009020545993997506</stp>
        <tr r="L55" s="2"/>
      </tp>
      <tp t="s">
        <v>#N/A N/A</v>
        <stp/>
        <stp>BDH|17023860841881974808</stp>
        <tr r="W34" s="4"/>
      </tp>
      <tp t="s">
        <v>#N/A N/A</v>
        <stp/>
        <stp>BDH|12222057707521919088</stp>
        <tr r="J69" s="2"/>
      </tp>
      <tp t="s">
        <v>#N/A N/A</v>
        <stp/>
        <stp>BDH|14011858227394154926</stp>
        <tr r="Y17" s="2"/>
      </tp>
      <tp t="s">
        <v>#N/A N/A</v>
        <stp/>
        <stp>BDH|15815266049193475328</stp>
        <tr r="N21" s="2"/>
      </tp>
      <tp t="s">
        <v>#N/A N/A</v>
        <stp/>
        <stp>BDH|13989337559975385316</stp>
        <tr r="M65" s="4"/>
      </tp>
      <tp t="s">
        <v>#N/A N/A</v>
        <stp/>
        <stp>BDH|13310419265645231742</stp>
        <tr r="V9" s="4"/>
      </tp>
      <tp t="s">
        <v>#N/A N/A</v>
        <stp/>
        <stp>BDH|11648356842811419447</stp>
        <tr r="K14" s="3"/>
      </tp>
      <tp t="s">
        <v>#N/A N/A</v>
        <stp/>
        <stp>BDH|13589143270990022601</stp>
        <tr r="H35" s="2"/>
        <tr r="H47" s="2"/>
      </tp>
      <tp t="s">
        <v>#N/A N/A</v>
        <stp/>
        <stp>BDH|10251495023406104384</stp>
        <tr r="M42" s="2"/>
      </tp>
      <tp t="s">
        <v>#N/A N/A</v>
        <stp/>
        <stp>BDH|16246791407694864653</stp>
        <tr r="S15" s="2"/>
      </tp>
      <tp t="s">
        <v>#N/A N/A</v>
        <stp/>
        <stp>BDH|14010786209255546557</stp>
        <tr r="H45" s="3"/>
      </tp>
      <tp t="s">
        <v>#N/A N/A</v>
        <stp/>
        <stp>BDH|12784853494379302953</stp>
        <tr r="J26" s="4"/>
      </tp>
      <tp t="s">
        <v>#N/A N/A</v>
        <stp/>
        <stp>BDH|17028202612532280504</stp>
        <tr r="Q33" s="4"/>
      </tp>
      <tp t="s">
        <v>#N/A N/A</v>
        <stp/>
        <stp>BDH|11471119624240424157</stp>
        <tr r="R40" s="2"/>
      </tp>
      <tp t="s">
        <v>#N/A N/A</v>
        <stp/>
        <stp>BDH|11781649117506354372</stp>
        <tr r="G54" s="4"/>
      </tp>
      <tp t="s">
        <v>#N/A N/A</v>
        <stp/>
        <stp>BDH|12732967400779510140</stp>
        <tr r="L75" s="3"/>
      </tp>
      <tp t="s">
        <v>#N/A N/A</v>
        <stp/>
        <stp>BDH|17020156007814536178</stp>
        <tr r="W38" s="2"/>
      </tp>
      <tp t="s">
        <v>#N/A N/A</v>
        <stp/>
        <stp>BDH|14258113764777103764</stp>
        <tr r="O41" s="2"/>
      </tp>
      <tp t="s">
        <v>#N/A N/A</v>
        <stp/>
        <stp>BDH|13649343314960444214</stp>
        <tr r="K12" s="4"/>
      </tp>
      <tp t="s">
        <v>#N/A N/A</v>
        <stp/>
        <stp>BDH|16144433469403958415</stp>
        <tr r="Y70" s="3"/>
      </tp>
      <tp t="s">
        <v>#N/A N/A</v>
        <stp/>
        <stp>BDH|11025572441540500306</stp>
        <tr r="R54" s="2"/>
      </tp>
      <tp t="s">
        <v>#N/A N/A</v>
        <stp/>
        <stp>BDH|12933429048895865484</stp>
        <tr r="L69" s="3"/>
      </tp>
      <tp t="s">
        <v>#N/A N/A</v>
        <stp/>
        <stp>BDH|11540943671485534965</stp>
        <tr r="V21" s="2"/>
      </tp>
      <tp t="s">
        <v>#N/A N/A</v>
        <stp/>
        <stp>BDH|16537415644206022333</stp>
        <tr r="U55" s="2"/>
      </tp>
      <tp t="s">
        <v>#N/A N/A</v>
        <stp/>
        <stp>BDH|11927746845875277480</stp>
        <tr r="T38" s="3"/>
      </tp>
      <tp t="s">
        <v>#N/A N/A</v>
        <stp/>
        <stp>BDH|13080578602990544524</stp>
        <tr r="R61" s="4"/>
      </tp>
      <tp t="s">
        <v>#N/A N/A</v>
        <stp/>
        <stp>BDH|10451115677675988096</stp>
        <tr r="Q43" s="3"/>
      </tp>
      <tp t="s">
        <v>#N/A N/A</v>
        <stp/>
        <stp>BDH|14147041020014224159</stp>
        <tr r="D17" s="2"/>
      </tp>
      <tp t="s">
        <v>#N/A N/A</v>
        <stp/>
        <stp>BDH|17519861041641599952</stp>
        <tr r="U10" s="4"/>
      </tp>
      <tp t="s">
        <v>#N/A N/A</v>
        <stp/>
        <stp>BDH|10215604050987222722</stp>
        <tr r="U85" s="3"/>
      </tp>
      <tp t="s">
        <v>#N/A N/A</v>
        <stp/>
        <stp>BDH|18148476185843724464</stp>
        <tr r="P66" s="3"/>
      </tp>
      <tp t="s">
        <v>#N/A N/A</v>
        <stp/>
        <stp>BDH|14851726129770626275</stp>
        <tr r="F68" s="3"/>
      </tp>
      <tp t="s">
        <v>#N/A N/A</v>
        <stp/>
        <stp>BDH|16341066072477171543</stp>
        <tr r="Q45" s="2"/>
      </tp>
      <tp t="s">
        <v>#N/A N/A</v>
        <stp/>
        <stp>BDH|12663114165752121415</stp>
        <tr r="C73" s="3"/>
      </tp>
      <tp t="s">
        <v>#N/A N/A</v>
        <stp/>
        <stp>BDH|12817131968166168001</stp>
        <tr r="E91" s="3"/>
      </tp>
      <tp t="s">
        <v>#N/A N/A</v>
        <stp/>
        <stp>BDH|15655626920043435124</stp>
        <tr r="G14" s="3"/>
      </tp>
      <tp t="s">
        <v>#N/A N/A</v>
        <stp/>
        <stp>BDH|13425221163782291626</stp>
        <tr r="C10" s="4"/>
      </tp>
      <tp t="s">
        <v>#N/A N/A</v>
        <stp/>
        <stp>BDH|13027869217231181858</stp>
        <tr r="X23" s="3"/>
      </tp>
      <tp t="s">
        <v>#N/A N/A</v>
        <stp/>
        <stp>BDH|16612591138781363219</stp>
        <tr r="I78" s="3"/>
      </tp>
      <tp t="s">
        <v>#N/A N/A</v>
        <stp/>
        <stp>BDH|10947581055445613678</stp>
        <tr r="H46" s="4"/>
      </tp>
      <tp t="s">
        <v>#N/A N/A</v>
        <stp/>
        <stp>BDH|14609140301507434129</stp>
        <tr r="L45" s="2"/>
      </tp>
      <tp t="s">
        <v>#N/A N/A</v>
        <stp/>
        <stp>BDH|11380756171427150530</stp>
        <tr r="O34" s="4"/>
      </tp>
      <tp t="s">
        <v>#N/A N/A</v>
        <stp/>
        <stp>BDH|14240000311173714518</stp>
        <tr r="D63" s="3"/>
      </tp>
      <tp t="s">
        <v>#N/A N/A</v>
        <stp/>
        <stp>BDH|16831333842064426681</stp>
        <tr r="O73" s="3"/>
      </tp>
      <tp t="s">
        <v>#N/A N/A</v>
        <stp/>
        <stp>BDH|17665955236449559750</stp>
        <tr r="F27" s="4"/>
      </tp>
      <tp t="s">
        <v>#N/A N/A</v>
        <stp/>
        <stp>BDH|14897336907766894210</stp>
        <tr r="R21" s="4"/>
      </tp>
      <tp t="s">
        <v>#N/A N/A</v>
        <stp/>
        <stp>BDH|16329533668305550386</stp>
        <tr r="J17" s="3"/>
      </tp>
      <tp t="s">
        <v>#N/A N/A</v>
        <stp/>
        <stp>BDH|10611523576791135067</stp>
        <tr r="M71" s="3"/>
      </tp>
      <tp t="s">
        <v>#N/A N/A</v>
        <stp/>
        <stp>BDH|16610215075358559839</stp>
        <tr r="E87" s="3"/>
      </tp>
      <tp t="s">
        <v>#N/A N/A</v>
        <stp/>
        <stp>BDH|16116727454276260119</stp>
        <tr r="W70" s="2"/>
      </tp>
      <tp t="s">
        <v>#N/A N/A</v>
        <stp/>
        <stp>BDH|13436112102580467178</stp>
        <tr r="J33" s="3"/>
      </tp>
      <tp t="s">
        <v>#N/A N/A</v>
        <stp/>
        <stp>BDH|11273050718231872238</stp>
        <tr r="S33" s="3"/>
      </tp>
      <tp t="s">
        <v>#N/A N/A</v>
        <stp/>
        <stp>BDH|13977372658904052220</stp>
        <tr r="F14" s="4"/>
      </tp>
      <tp t="s">
        <v>#N/A N/A</v>
        <stp/>
        <stp>BDH|15630638081078424040</stp>
        <tr r="F34" s="2"/>
      </tp>
      <tp t="s">
        <v>#N/A N/A</v>
        <stp/>
        <stp>BDH|16091989344958863000</stp>
        <tr r="V13" s="2"/>
      </tp>
      <tp t="s">
        <v>#N/A N/A</v>
        <stp/>
        <stp>BDH|10758286556650950443</stp>
        <tr r="D65" s="4"/>
      </tp>
      <tp t="s">
        <v>#N/A N/A</v>
        <stp/>
        <stp>BDH|11798329323284479762</stp>
        <tr r="W41" s="3"/>
      </tp>
      <tp t="s">
        <v>#N/A N/A</v>
        <stp/>
        <stp>BDH|14303586977595032085</stp>
        <tr r="W63" s="2"/>
      </tp>
      <tp t="s">
        <v>#N/A N/A</v>
        <stp/>
        <stp>BDH|10154911219968811363</stp>
        <tr r="K40" s="4"/>
      </tp>
      <tp t="s">
        <v>#N/A N/A</v>
        <stp/>
        <stp>BDH|12487037523261475274</stp>
        <tr r="L36" s="4"/>
      </tp>
      <tp t="s">
        <v>#N/A N/A</v>
        <stp/>
        <stp>BDH|10500674748943564286</stp>
        <tr r="V42" s="2"/>
      </tp>
      <tp t="s">
        <v>#N/A N/A</v>
        <stp/>
        <stp>BDH|17697315106574651301</stp>
        <tr r="V59" s="3"/>
      </tp>
      <tp t="s">
        <v>#N/A N/A</v>
        <stp/>
        <stp>BDH|10315302514503329234</stp>
        <tr r="C66" s="3"/>
      </tp>
      <tp t="s">
        <v>#N/A N/A</v>
        <stp/>
        <stp>BDH|17838485479211806663</stp>
        <tr r="J34" s="3"/>
      </tp>
      <tp t="s">
        <v>#N/A N/A</v>
        <stp/>
        <stp>BDH|15276336735563648554</stp>
        <tr r="E25" s="3"/>
      </tp>
      <tp t="s">
        <v>#N/A N/A</v>
        <stp/>
        <stp>BDH|16089126404027599343</stp>
        <tr r="F72" s="3"/>
      </tp>
      <tp t="s">
        <v>#N/A N/A</v>
        <stp/>
        <stp>BDH|15241008162328702817</stp>
        <tr r="V75" s="3"/>
      </tp>
      <tp t="s">
        <v>#N/A N/A</v>
        <stp/>
        <stp>BDH|13227845578846878907</stp>
        <tr r="T32" s="4"/>
      </tp>
      <tp t="s">
        <v>#N/A N/A</v>
        <stp/>
        <stp>BDH|14594425771006927293</stp>
        <tr r="C33" s="4"/>
      </tp>
      <tp t="s">
        <v>#N/A N/A</v>
        <stp/>
        <stp>BDH|17131542814157552726</stp>
        <tr r="R56" s="3"/>
      </tp>
      <tp t="s">
        <v>#N/A N/A</v>
        <stp/>
        <stp>BDH|14795749670721118644</stp>
        <tr r="W92" s="3"/>
      </tp>
      <tp t="s">
        <v>#N/A N/A</v>
        <stp/>
        <stp>BDH|17239737175003362710</stp>
        <tr r="Y69" s="2"/>
      </tp>
      <tp t="s">
        <v>#N/A N/A</v>
        <stp/>
        <stp>BDH|17644392608916749169</stp>
        <tr r="D28" s="3"/>
      </tp>
      <tp t="s">
        <v>#N/A N/A</v>
        <stp/>
        <stp>BDH|16333550639055142685</stp>
        <tr r="J12" s="4"/>
      </tp>
      <tp t="s">
        <v>#N/A N/A</v>
        <stp/>
        <stp>BDH|17814881258448902173</stp>
        <tr r="Q66" s="2"/>
      </tp>
      <tp t="s">
        <v>#N/A N/A</v>
        <stp/>
        <stp>BDH|14199997187495950309</stp>
        <tr r="H88" s="3"/>
      </tp>
      <tp t="s">
        <v>#N/A N/A</v>
        <stp/>
        <stp>BDH|16699036274233391140</stp>
        <tr r="W34" s="2"/>
      </tp>
      <tp t="s">
        <v>#N/A N/A</v>
        <stp/>
        <stp>BDH|11573875147639255715</stp>
        <tr r="E64" s="4"/>
      </tp>
      <tp t="s">
        <v>#N/A N/A</v>
        <stp/>
        <stp>BDH|12832505020823172501</stp>
        <tr r="Z87" s="3"/>
      </tp>
      <tp t="s">
        <v>#N/A N/A</v>
        <stp/>
        <stp>BDH|11335382607597396663</stp>
        <tr r="I39" s="3"/>
      </tp>
      <tp t="s">
        <v>#N/A N/A</v>
        <stp/>
        <stp>BDH|17930019313897386214</stp>
        <tr r="S22" s="2"/>
      </tp>
      <tp t="s">
        <v>#N/A N/A</v>
        <stp/>
        <stp>BDH|14799497106196759567</stp>
        <tr r="F6" s="2"/>
      </tp>
      <tp t="s">
        <v>#N/A N/A</v>
        <stp/>
        <stp>BDH|17349530728510199305</stp>
        <tr r="W85" s="3"/>
      </tp>
      <tp t="s">
        <v>#N/A N/A</v>
        <stp/>
        <stp>BDH|16870661635329365911</stp>
        <tr r="X50" s="3"/>
      </tp>
      <tp t="s">
        <v>#N/A N/A</v>
        <stp/>
        <stp>BDH|12649683200643296442</stp>
        <tr r="V45" s="2"/>
      </tp>
      <tp t="s">
        <v>#N/A N/A</v>
        <stp/>
        <stp>BDH|12510538742597518794</stp>
        <tr r="Y31" s="4"/>
      </tp>
      <tp t="s">
        <v>#N/A N/A</v>
        <stp/>
        <stp>BDH|15179006603407987133</stp>
        <tr r="C40" s="3"/>
      </tp>
      <tp t="s">
        <v>#N/A N/A</v>
        <stp/>
        <stp>BDH|14842877947883768873</stp>
        <tr r="Y24" s="2"/>
      </tp>
      <tp t="s">
        <v>#N/A N/A</v>
        <stp/>
        <stp>BDH|11440478717352932552</stp>
        <tr r="W64" s="3"/>
      </tp>
      <tp t="s">
        <v>#N/A N/A</v>
        <stp/>
        <stp>BDH|15278158133872880643</stp>
        <tr r="S22" s="3"/>
      </tp>
      <tp t="s">
        <v>#N/A N/A</v>
        <stp/>
        <stp>BDH|12609574176024630791</stp>
        <tr r="M43" s="4"/>
      </tp>
      <tp t="s">
        <v>#N/A N/A</v>
        <stp/>
        <stp>BDH|15165073166658131896</stp>
        <tr r="U57" s="2"/>
      </tp>
      <tp t="s">
        <v>#N/A N/A</v>
        <stp/>
        <stp>BDH|14009661186040906914</stp>
        <tr r="E14" s="3"/>
      </tp>
      <tp t="s">
        <v>#N/A N/A</v>
        <stp/>
        <stp>BDH|10340731998269156429</stp>
        <tr r="Q39" s="2"/>
      </tp>
      <tp t="s">
        <v>#N/A N/A</v>
        <stp/>
        <stp>BDH|12015898994623226346</stp>
        <tr r="T31" s="4"/>
      </tp>
      <tp t="s">
        <v>#N/A N/A</v>
        <stp/>
        <stp>BDH|15592661003539819932</stp>
        <tr r="L39" s="3"/>
      </tp>
      <tp t="s">
        <v>#N/A N/A</v>
        <stp/>
        <stp>BDH|13024706801742983535</stp>
        <tr r="W88" s="3"/>
      </tp>
      <tp t="s">
        <v>#N/A N/A</v>
        <stp/>
        <stp>BDH|14405286141029428829</stp>
        <tr r="N12" s="4"/>
      </tp>
      <tp t="s">
        <v>#N/A N/A</v>
        <stp/>
        <stp>BDH|15689237157649043891</stp>
        <tr r="X45" s="2"/>
      </tp>
      <tp t="s">
        <v>#N/A N/A</v>
        <stp/>
        <stp>BDH|10177793702144496050</stp>
        <tr r="F48" s="3"/>
      </tp>
      <tp t="s">
        <v>#N/A N/A</v>
        <stp/>
        <stp>BDH|14388518849504058202</stp>
        <tr r="F86" s="3"/>
      </tp>
      <tp t="s">
        <v>#N/A N/A</v>
        <stp/>
        <stp>BDH|17678554008196977797</stp>
        <tr r="P26" s="3"/>
      </tp>
      <tp t="s">
        <v>#N/A N/A</v>
        <stp/>
        <stp>BDH|14369153976604366583</stp>
        <tr r="N42" s="3"/>
      </tp>
      <tp t="s">
        <v>#N/A N/A</v>
        <stp/>
        <stp>BDH|14242600441072961717</stp>
        <tr r="E48" s="3"/>
      </tp>
      <tp t="s">
        <v>#N/A N/A</v>
        <stp/>
        <stp>BDH|17869664132039209849</stp>
        <tr r="I9" s="4"/>
      </tp>
      <tp t="s">
        <v>#N/A N/A</v>
        <stp/>
        <stp>BDH|14026089469163218291</stp>
        <tr r="D11" s="4"/>
      </tp>
      <tp t="s">
        <v>#N/A N/A</v>
        <stp/>
        <stp>BDH|13907710746016485502</stp>
        <tr r="Z34" s="4"/>
      </tp>
      <tp t="s">
        <v>#N/A N/A</v>
        <stp/>
        <stp>BDH|11979232606709294944</stp>
        <tr r="Q10" s="3"/>
      </tp>
      <tp t="s">
        <v>#N/A N/A</v>
        <stp/>
        <stp>BDH|11047761938173029548</stp>
        <tr r="K42" s="2"/>
      </tp>
      <tp t="s">
        <v>#N/A N/A</v>
        <stp/>
        <stp>BDH|15316080179195120491</stp>
        <tr r="F67" s="3"/>
      </tp>
      <tp t="s">
        <v>#N/A N/A</v>
        <stp/>
        <stp>BDH|12821448270196098461</stp>
        <tr r="L22" s="3"/>
      </tp>
      <tp t="s">
        <v>#N/A N/A</v>
        <stp/>
        <stp>BDH|14116283917226111256</stp>
        <tr r="Y93" s="3"/>
      </tp>
      <tp t="s">
        <v>#N/A N/A</v>
        <stp/>
        <stp>BDH|17573125933220829667</stp>
        <tr r="Y12" s="2"/>
      </tp>
      <tp t="s">
        <v>#N/A N/A</v>
        <stp/>
        <stp>BDH|11084566079688641845</stp>
        <tr r="H40" s="3"/>
      </tp>
      <tp t="s">
        <v>#N/A N/A</v>
        <stp/>
        <stp>BDH|17113489205560271036</stp>
        <tr r="L11" s="3"/>
      </tp>
      <tp t="s">
        <v>#N/A N/A</v>
        <stp/>
        <stp>BDH|15545329556988564890</stp>
        <tr r="T42" s="2"/>
      </tp>
      <tp t="s">
        <v>#N/A N/A</v>
        <stp/>
        <stp>BDH|12270282919256743492</stp>
        <tr r="N32" s="4"/>
      </tp>
      <tp t="s">
        <v>#N/A N/A</v>
        <stp/>
        <stp>BDH|16125308329890562403</stp>
        <tr r="S13" s="2"/>
      </tp>
      <tp t="s">
        <v>#N/A N/A</v>
        <stp/>
        <stp>BDH|14699828434169944542</stp>
        <tr r="S58" s="4"/>
      </tp>
      <tp t="s">
        <v>#N/A N/A</v>
        <stp/>
        <stp>BDH|12486466233744860255</stp>
        <tr r="O15" s="2"/>
      </tp>
      <tp t="s">
        <v>#N/A N/A</v>
        <stp/>
        <stp>BDH|10441150242590700688</stp>
        <tr r="U34" s="4"/>
      </tp>
      <tp t="s">
        <v>#N/A N/A</v>
        <stp/>
        <stp>BDH|16408344909375601338</stp>
        <tr r="K91" s="3"/>
      </tp>
      <tp t="s">
        <v>#N/A N/A</v>
        <stp/>
        <stp>BDH|15603890097207643029</stp>
        <tr r="V24" s="3"/>
      </tp>
      <tp t="s">
        <v>#N/A N/A</v>
        <stp/>
        <stp>BDH|14555296556037389755</stp>
        <tr r="N35" s="4"/>
      </tp>
      <tp t="s">
        <v>#N/A N/A</v>
        <stp/>
        <stp>BDH|15630656208611650118</stp>
        <tr r="S45" s="2"/>
      </tp>
      <tp t="s">
        <v>#N/A N/A</v>
        <stp/>
        <stp>BDH|17528280497609514638</stp>
        <tr r="Z7" s="2"/>
      </tp>
      <tp t="s">
        <v>#N/A N/A</v>
        <stp/>
        <stp>BDH|12936754096269157670</stp>
        <tr r="M65" s="3"/>
      </tp>
      <tp t="s">
        <v>#N/A N/A</v>
        <stp/>
        <stp>BDH|16711681853477126111</stp>
        <tr r="H29" s="3"/>
      </tp>
      <tp t="s">
        <v>#N/A N/A</v>
        <stp/>
        <stp>BDH|16726036303224992129</stp>
        <tr r="E47" s="4"/>
      </tp>
      <tp t="s">
        <v>#N/A N/A</v>
        <stp/>
        <stp>BDH|16996638736278509857</stp>
        <tr r="T9" s="2"/>
      </tp>
      <tp t="s">
        <v>#N/A N/A</v>
        <stp/>
        <stp>BDH|12914748274594217546</stp>
        <tr r="G77" s="3"/>
      </tp>
      <tp t="s">
        <v>#N/A N/A</v>
        <stp/>
        <stp>BDH|16211781621922072245</stp>
        <tr r="F35" s="3"/>
      </tp>
      <tp t="s">
        <v>#N/A N/A</v>
        <stp/>
        <stp>BDH|17795485026492557035</stp>
        <tr r="W36" s="2"/>
      </tp>
      <tp t="s">
        <v>#N/A N/A</v>
        <stp/>
        <stp>BDH|17676197634542282465</stp>
        <tr r="L18" s="4"/>
      </tp>
      <tp t="s">
        <v>#N/A N/A</v>
        <stp/>
        <stp>BDH|17256049315184514192</stp>
        <tr r="W10" s="2"/>
      </tp>
      <tp t="s">
        <v>#N/A N/A</v>
        <stp/>
        <stp>BDH|11628125536880818053</stp>
        <tr r="E31" s="3"/>
      </tp>
      <tp t="s">
        <v>#N/A N/A</v>
        <stp/>
        <stp>BDH|15647392931664843299</stp>
        <tr r="M16" s="4"/>
      </tp>
      <tp t="s">
        <v>#N/A N/A</v>
        <stp/>
        <stp>BDH|15891123717650620643</stp>
        <tr r="N12" s="2"/>
      </tp>
      <tp t="s">
        <v>#N/A N/A</v>
        <stp/>
        <stp>BDH|18415849344023279493</stp>
        <tr r="H41" s="4"/>
      </tp>
      <tp t="s">
        <v>#N/A N/A</v>
        <stp/>
        <stp>BDH|11098496122844405004</stp>
        <tr r="C26" s="3"/>
      </tp>
      <tp t="s">
        <v>#N/A N/A</v>
        <stp/>
        <stp>BDH|15387825900477783991</stp>
        <tr r="N38" s="2"/>
      </tp>
      <tp t="s">
        <v>#N/A N/A</v>
        <stp/>
        <stp>BDH|17128195907536255327</stp>
        <tr r="M24" s="2"/>
      </tp>
      <tp t="s">
        <v>#N/A N/A</v>
        <stp/>
        <stp>BDH|10036460360617812614</stp>
        <tr r="R22" s="4"/>
      </tp>
      <tp t="s">
        <v>#N/A N/A</v>
        <stp/>
        <stp>BDH|11654249204929898904</stp>
        <tr r="Q7" s="2"/>
      </tp>
      <tp t="s">
        <v>#N/A N/A</v>
        <stp/>
        <stp>BDH|16986493009439585828</stp>
        <tr r="U31" s="3"/>
      </tp>
      <tp t="s">
        <v>#N/A N/A</v>
        <stp/>
        <stp>BDH|16523107441217359790</stp>
        <tr r="G60" s="4"/>
      </tp>
      <tp t="s">
        <v>#N/A N/A</v>
        <stp/>
        <stp>BDH|16978443200156145720</stp>
        <tr r="R91" s="3"/>
      </tp>
      <tp t="s">
        <v>#N/A N/A</v>
        <stp/>
        <stp>BDH|11781294702911413165</stp>
        <tr r="S62" s="2"/>
      </tp>
      <tp t="s">
        <v>#N/A N/A</v>
        <stp/>
        <stp>BDH|10674042310270801247</stp>
        <tr r="V40" s="3"/>
      </tp>
      <tp t="s">
        <v>#N/A N/A</v>
        <stp/>
        <stp>BDH|15921680537891096286</stp>
        <tr r="W16" s="3"/>
      </tp>
      <tp t="s">
        <v>#N/A N/A</v>
        <stp/>
        <stp>BDH|17309188663100114083</stp>
        <tr r="D10" s="4"/>
      </tp>
      <tp t="s">
        <v>#N/A N/A</v>
        <stp/>
        <stp>BDH|12180168834592061228</stp>
        <tr r="T25" s="4"/>
      </tp>
      <tp t="s">
        <v>#N/A N/A</v>
        <stp/>
        <stp>BDH|13581523773981397062</stp>
        <tr r="F35" s="2"/>
        <tr r="F47" s="2"/>
      </tp>
      <tp t="s">
        <v>#N/A N/A</v>
        <stp/>
        <stp>BDH|16477736263426640138</stp>
        <tr r="I8" s="3"/>
      </tp>
      <tp t="s">
        <v>#N/A N/A</v>
        <stp/>
        <stp>BDH|16069702269090196792</stp>
        <tr r="X15" s="2"/>
      </tp>
      <tp t="s">
        <v>#N/A N/A</v>
        <stp/>
        <stp>BDH|12557016234338985986</stp>
        <tr r="O41" s="4"/>
      </tp>
      <tp t="s">
        <v>#N/A N/A</v>
        <stp/>
        <stp>BDH|17585415741592275563</stp>
        <tr r="K47" s="4"/>
      </tp>
      <tp t="s">
        <v>#N/A N/A</v>
        <stp/>
        <stp>BDH|17552117046223048135</stp>
        <tr r="T35" s="2"/>
        <tr r="T47" s="2"/>
      </tp>
      <tp t="s">
        <v>#N/A N/A</v>
        <stp/>
        <stp>BDH|10375614574536263751</stp>
        <tr r="D15" s="3"/>
      </tp>
      <tp t="s">
        <v>#N/A N/A</v>
        <stp/>
        <stp>BDH|17950192951372246127</stp>
        <tr r="O42" s="3"/>
      </tp>
      <tp t="s">
        <v>#N/A N/A</v>
        <stp/>
        <stp>BDH|17055687504670875154</stp>
        <tr r="Q34" s="3"/>
      </tp>
      <tp t="s">
        <v>#N/A N/A</v>
        <stp/>
        <stp>BDH|16019787518366563647</stp>
        <tr r="D34" s="3"/>
      </tp>
      <tp t="s">
        <v>#N/A N/A</v>
        <stp/>
        <stp>BDH|15593237657334708666</stp>
        <tr r="J50" s="3"/>
      </tp>
      <tp t="s">
        <v>#N/A N/A</v>
        <stp/>
        <stp>BDH|11093845080508761934</stp>
        <tr r="S85" s="3"/>
      </tp>
      <tp t="s">
        <v>#N/A N/A</v>
        <stp/>
        <stp>BDH|12714205348860603495</stp>
        <tr r="N41" s="4"/>
      </tp>
      <tp t="s">
        <v>#N/A N/A</v>
        <stp/>
        <stp>BDH|15199767449922911479</stp>
        <tr r="K72" s="3"/>
      </tp>
      <tp t="s">
        <v>#N/A N/A</v>
        <stp/>
        <stp>BDH|13286620444316543710</stp>
        <tr r="P19" s="2"/>
      </tp>
      <tp t="s">
        <v>#N/A N/A</v>
        <stp/>
        <stp>BDH|12479712730856005051</stp>
        <tr r="H22" s="4"/>
      </tp>
      <tp t="s">
        <v>#N/A N/A</v>
        <stp/>
        <stp>BDH|14769689908882536027</stp>
        <tr r="M93" s="3"/>
      </tp>
      <tp t="s">
        <v>#N/A N/A</v>
        <stp/>
        <stp>BDH|13715850482607662463</stp>
        <tr r="T26" s="4"/>
      </tp>
      <tp t="s">
        <v>#N/A N/A</v>
        <stp/>
        <stp>BDH|15067033408501829432</stp>
        <tr r="P23" s="3"/>
      </tp>
      <tp t="s">
        <v>#N/A N/A</v>
        <stp/>
        <stp>BDH|11959448475983919112</stp>
        <tr r="Z8" s="4"/>
      </tp>
      <tp t="s">
        <v>#N/A N/A</v>
        <stp/>
        <stp>BDH|14065212671569905894</stp>
        <tr r="H52" s="4"/>
      </tp>
      <tp t="s">
        <v>#N/A N/A</v>
        <stp/>
        <stp>BDH|15278036638257292181</stp>
        <tr r="Q72" s="3"/>
      </tp>
      <tp t="s">
        <v>#N/A N/A</v>
        <stp/>
        <stp>BDH|11940540664407290582</stp>
        <tr r="C28" s="4"/>
      </tp>
      <tp t="s">
        <v>#N/A N/A</v>
        <stp/>
        <stp>BDH|12288989849989368636</stp>
        <tr r="E72" s="2"/>
      </tp>
      <tp t="s">
        <v>#N/A N/A</v>
        <stp/>
        <stp>BDH|16433008394268606756</stp>
        <tr r="R85" s="3"/>
      </tp>
      <tp t="s">
        <v>#N/A N/A</v>
        <stp/>
        <stp>BDH|10159311816677085555</stp>
        <tr r="Y10" s="3"/>
      </tp>
      <tp t="s">
        <v>#N/A N/A</v>
        <stp/>
        <stp>BDH|14788528406025272429</stp>
        <tr r="D73" s="3"/>
      </tp>
      <tp t="s">
        <v>#N/A N/A</v>
        <stp/>
        <stp>BDH|14658349544066666537</stp>
        <tr r="R49" s="2"/>
      </tp>
      <tp t="s">
        <v>#N/A N/A</v>
        <stp/>
        <stp>BDH|17994761056501898424</stp>
        <tr r="R8" s="2"/>
      </tp>
      <tp t="s">
        <v>#N/A N/A</v>
        <stp/>
        <stp>BDH|17953582733751954082</stp>
        <tr r="Q83" s="3"/>
      </tp>
      <tp t="s">
        <v>#N/A N/A</v>
        <stp/>
        <stp>BDH|18174737361411832880</stp>
        <tr r="D55" s="2"/>
      </tp>
      <tp t="s">
        <v>#N/A N/A</v>
        <stp/>
        <stp>BDH|10259808841169697563</stp>
        <tr r="G34" s="2"/>
      </tp>
      <tp t="s">
        <v>#N/A N/A</v>
        <stp/>
        <stp>BDH|12939245938765408624</stp>
        <tr r="Q35" s="2"/>
        <tr r="Q47" s="2"/>
      </tp>
      <tp t="s">
        <v>#N/A N/A</v>
        <stp/>
        <stp>BDH|15045448355550061435</stp>
        <tr r="C56" s="2"/>
      </tp>
      <tp t="s">
        <v>#N/A N/A</v>
        <stp/>
        <stp>BDH|17751447746435563228</stp>
        <tr r="U21" s="4"/>
      </tp>
      <tp t="s">
        <v>#N/A N/A</v>
        <stp/>
        <stp>BDH|13283544127137045336</stp>
        <tr r="O54" s="3"/>
      </tp>
      <tp t="s">
        <v>#N/A N/A</v>
        <stp/>
        <stp>BDH|16710705000350125148</stp>
        <tr r="Y15" s="4"/>
      </tp>
      <tp t="s">
        <v>#N/A N/A</v>
        <stp/>
        <stp>BDH|12985801915368625384</stp>
        <tr r="I31" s="2"/>
      </tp>
      <tp t="s">
        <v>#N/A N/A</v>
        <stp/>
        <stp>BDH|13738026401395305655</stp>
        <tr r="J30" s="2"/>
      </tp>
      <tp t="s">
        <v>#N/A N/A</v>
        <stp/>
        <stp>BDH|16090148026616943392</stp>
        <tr r="N55" s="3"/>
      </tp>
      <tp t="s">
        <v>#N/A N/A</v>
        <stp/>
        <stp>BDH|14518075547201199168</stp>
        <tr r="X8" s="4"/>
      </tp>
      <tp t="s">
        <v>#N/A N/A</v>
        <stp/>
        <stp>BDH|18253470802398308462</stp>
        <tr r="O59" s="3"/>
      </tp>
      <tp t="s">
        <v>#N/A N/A</v>
        <stp/>
        <stp>BDH|11982617314673947579</stp>
        <tr r="I84" s="3"/>
      </tp>
      <tp t="s">
        <v>#N/A N/A</v>
        <stp/>
        <stp>BDH|12648969910173716927</stp>
        <tr r="L71" s="2"/>
      </tp>
      <tp t="s">
        <v>#N/A N/A</v>
        <stp/>
        <stp>BDH|10477773323190648539</stp>
        <tr r="S18" s="3"/>
      </tp>
      <tp t="s">
        <v>#N/A N/A</v>
        <stp/>
        <stp>BDH|11650815494904349451</stp>
        <tr r="O10" s="4"/>
      </tp>
      <tp t="s">
        <v>#N/A N/A</v>
        <stp/>
        <stp>BDH|18039748953199112337</stp>
        <tr r="L65" s="2"/>
      </tp>
      <tp t="s">
        <v>#N/A N/A</v>
        <stp/>
        <stp>BDH|14100014814995434052</stp>
        <tr r="O25" s="3"/>
      </tp>
      <tp t="s">
        <v>#N/A N/A</v>
        <stp/>
        <stp>BDH|11210342721883119336</stp>
        <tr r="F21" s="3"/>
      </tp>
      <tp t="s">
        <v>#N/A N/A</v>
        <stp/>
        <stp>BDH|17012998267130386880</stp>
        <tr r="D7" s="3"/>
      </tp>
      <tp t="s">
        <v>#N/A N/A</v>
        <stp/>
        <stp>BDH|14491228149906991436</stp>
        <tr r="O50" s="4"/>
      </tp>
      <tp t="s">
        <v>#N/A N/A</v>
        <stp/>
        <stp>BDH|13241641563645953691</stp>
        <tr r="U59" s="4"/>
      </tp>
      <tp t="s">
        <v>#N/A N/A</v>
        <stp/>
        <stp>BDH|11345423796588461462</stp>
        <tr r="P61" s="4"/>
      </tp>
      <tp t="s">
        <v>#N/A N/A</v>
        <stp/>
        <stp>BDH|14634065309923591790</stp>
        <tr r="Q24" s="2"/>
      </tp>
      <tp t="s">
        <v>#N/A N/A</v>
        <stp/>
        <stp>BDH|17388540612417606469</stp>
        <tr r="V59" s="4"/>
      </tp>
      <tp t="s">
        <v>#N/A N/A</v>
        <stp/>
        <stp>BDH|11457317173254633157</stp>
        <tr r="N41" s="2"/>
      </tp>
      <tp t="s">
        <v>#N/A N/A</v>
        <stp/>
        <stp>BDH|12880426229261310545</stp>
        <tr r="G33" s="2"/>
      </tp>
      <tp t="s">
        <v>#N/A N/A</v>
        <stp/>
        <stp>BDH|17150484520566851759</stp>
        <tr r="K8" s="4"/>
      </tp>
      <tp t="s">
        <v>#N/A N/A</v>
        <stp/>
        <stp>BDH|12711034925393398362</stp>
        <tr r="W17" s="3"/>
      </tp>
      <tp t="s">
        <v>#N/A N/A</v>
        <stp/>
        <stp>BDH|10614597708823658657</stp>
        <tr r="K86" s="3"/>
      </tp>
      <tp t="s">
        <v>#N/A N/A</v>
        <stp/>
        <stp>BDH|15049413325495309630</stp>
        <tr r="M66" s="3"/>
      </tp>
      <tp t="s">
        <v>#N/A N/A</v>
        <stp/>
        <stp>BDH|15752559570863643403</stp>
        <tr r="P34" s="4"/>
      </tp>
      <tp t="s">
        <v>#N/A N/A</v>
        <stp/>
        <stp>BDH|15228343786329709730</stp>
        <tr r="Q20" s="3"/>
      </tp>
      <tp t="s">
        <v>#N/A N/A</v>
        <stp/>
        <stp>BDH|15729841317518501451</stp>
        <tr r="U67" s="2"/>
      </tp>
      <tp t="s">
        <v>#N/A N/A</v>
        <stp/>
        <stp>BDH|11925597633564051373</stp>
        <tr r="W40" s="2"/>
      </tp>
      <tp t="s">
        <v>#N/A N/A</v>
        <stp/>
        <stp>BDH|18168432933106079956</stp>
        <tr r="E64" s="3"/>
      </tp>
      <tp t="s">
        <v>#N/A N/A</v>
        <stp/>
        <stp>BDH|13907587433133076665</stp>
        <tr r="F24" s="4"/>
      </tp>
      <tp t="s">
        <v>#N/A N/A</v>
        <stp/>
        <stp>BDH|13742043820381375079</stp>
        <tr r="N7" s="4"/>
      </tp>
      <tp t="s">
        <v>#N/A N/A</v>
        <stp/>
        <stp>BDH|12654019946273008564</stp>
        <tr r="U45" s="3"/>
      </tp>
      <tp t="s">
        <v>#N/A N/A</v>
        <stp/>
        <stp>BDH|15074528236486002535</stp>
        <tr r="Q62" s="3"/>
      </tp>
      <tp t="s">
        <v>#N/A N/A</v>
        <stp/>
        <stp>BDH|15318933291861370450</stp>
        <tr r="J41" s="2"/>
      </tp>
      <tp t="s">
        <v>#N/A N/A</v>
        <stp/>
        <stp>BDH|15389561972503634462</stp>
        <tr r="J65" s="2"/>
      </tp>
      <tp t="s">
        <v>#N/A N/A</v>
        <stp/>
        <stp>BDH|15781843677083528964</stp>
        <tr r="W61" s="2"/>
      </tp>
      <tp t="s">
        <v>#N/A N/A</v>
        <stp/>
        <stp>BDH|12942493011514632302</stp>
        <tr r="R21" s="2"/>
      </tp>
      <tp t="s">
        <v>#N/A N/A</v>
        <stp/>
        <stp>BDH|11681646513304158279</stp>
        <tr r="P46" s="2"/>
      </tp>
      <tp t="s">
        <v>#N/A N/A</v>
        <stp/>
        <stp>BDH|13848204280049955064</stp>
        <tr r="U45" s="2"/>
      </tp>
      <tp t="s">
        <v>#N/A N/A</v>
        <stp/>
        <stp>BDH|17285730924436779446</stp>
        <tr r="V94" s="3"/>
      </tp>
      <tp t="s">
        <v>#N/A N/A</v>
        <stp/>
        <stp>BDH|15040108202503218769</stp>
        <tr r="R22" s="3"/>
      </tp>
      <tp t="s">
        <v>#N/A N/A</v>
        <stp/>
        <stp>BDH|16815069713440983723</stp>
        <tr r="E34" s="2"/>
      </tp>
      <tp t="s">
        <v>#N/A N/A</v>
        <stp/>
        <stp>BDH|15721083473710875227</stp>
        <tr r="W46" s="2"/>
      </tp>
      <tp t="s">
        <v>#N/A N/A</v>
        <stp/>
        <stp>BDH|16273136938657163319</stp>
        <tr r="I13" s="2"/>
      </tp>
      <tp t="s">
        <v>#N/A N/A</v>
        <stp/>
        <stp>BDH|11552863948394187935</stp>
        <tr r="J53" s="3"/>
      </tp>
      <tp t="s">
        <v>#N/A N/A</v>
        <stp/>
        <stp>BDH|13988121229394305485</stp>
        <tr r="F41" s="2"/>
      </tp>
      <tp t="s">
        <v>#N/A N/A</v>
        <stp/>
        <stp>BDH|17786504447467049192</stp>
        <tr r="J23" s="3"/>
      </tp>
      <tp t="s">
        <v>#N/A N/A</v>
        <stp/>
        <stp>BDH|17193922878310568972</stp>
        <tr r="I72" s="2"/>
      </tp>
      <tp t="s">
        <v>#N/A N/A</v>
        <stp/>
        <stp>BDH|16152551556471244794</stp>
        <tr r="F11" s="3"/>
      </tp>
      <tp t="s">
        <v>#N/A N/A</v>
        <stp/>
        <stp>BDH|17767597831258158976</stp>
        <tr r="Z37" s="2"/>
      </tp>
      <tp t="s">
        <v>#N/A N/A</v>
        <stp/>
        <stp>BDH|11074396733028719947</stp>
        <tr r="Y30" s="2"/>
      </tp>
      <tp t="s">
        <v>#N/A N/A</v>
        <stp/>
        <stp>BDH|16701272398395410856</stp>
        <tr r="C10" s="2"/>
      </tp>
      <tp t="s">
        <v>#N/A N/A</v>
        <stp/>
        <stp>BDH|16195639777422957555</stp>
        <tr r="I18" s="3"/>
      </tp>
      <tp t="s">
        <v>#N/A N/A</v>
        <stp/>
        <stp>BDH|11284198286279147152</stp>
        <tr r="Q60" s="3"/>
      </tp>
      <tp t="s">
        <v>#N/A N/A</v>
        <stp/>
        <stp>BDH|14385521839717825587</stp>
        <tr r="S70" s="2"/>
      </tp>
      <tp t="s">
        <v>#N/A N/A</v>
        <stp/>
        <stp>BDH|12526597462946761713</stp>
        <tr r="H50" s="4"/>
      </tp>
      <tp t="s">
        <v>#N/A N/A</v>
        <stp/>
        <stp>BDH|13002443308591530618</stp>
        <tr r="Y12" s="3"/>
      </tp>
      <tp t="s">
        <v>#N/A N/A</v>
        <stp/>
        <stp>BDH|10331657154953346094</stp>
        <tr r="T64" s="2"/>
      </tp>
      <tp t="s">
        <v>#N/A N/A</v>
        <stp/>
        <stp>BDH|12665988265144354906</stp>
        <tr r="I64" s="3"/>
      </tp>
      <tp t="s">
        <v>#N/A N/A</v>
        <stp/>
        <stp>BDH|18357457907704916804</stp>
        <tr r="P17" s="3"/>
      </tp>
      <tp t="s">
        <v>#N/A N/A</v>
        <stp/>
        <stp>BDH|14478969969282204919</stp>
        <tr r="T60" s="3"/>
      </tp>
      <tp t="s">
        <v>#N/A N/A</v>
        <stp/>
        <stp>BDH|17382435869267693273</stp>
        <tr r="Q8" s="4"/>
      </tp>
      <tp t="s">
        <v>#N/A N/A</v>
        <stp/>
        <stp>BDH|13144129836806889766</stp>
        <tr r="R75" s="3"/>
      </tp>
      <tp t="s">
        <v>#N/A N/A</v>
        <stp/>
        <stp>BDH|12587369811633899316</stp>
        <tr r="T63" s="2"/>
      </tp>
      <tp t="s">
        <v>#N/A N/A</v>
        <stp/>
        <stp>BDH|14200980115854307875</stp>
        <tr r="W68" s="3"/>
      </tp>
      <tp t="s">
        <v>#N/A N/A</v>
        <stp/>
        <stp>BDH|17130022275028954846</stp>
        <tr r="G76" s="3"/>
      </tp>
      <tp t="s">
        <v>#N/A N/A</v>
        <stp/>
        <stp>BDH|11131880593188352826</stp>
        <tr r="V52" s="3"/>
      </tp>
      <tp t="s">
        <v>#N/A N/A</v>
        <stp/>
        <stp>BDH|11132658187478991717</stp>
        <tr r="K17" s="2"/>
      </tp>
      <tp t="s">
        <v>#N/A N/A</v>
        <stp/>
        <stp>BDH|17222620099518502076</stp>
        <tr r="Y36" s="2"/>
      </tp>
      <tp t="s">
        <v>#N/A N/A</v>
        <stp/>
        <stp>BDH|16170697177013429406</stp>
        <tr r="D62" s="2"/>
      </tp>
      <tp t="s">
        <v>#N/A N/A</v>
        <stp/>
        <stp>BDH|16224870609919793706</stp>
        <tr r="V36" s="4"/>
      </tp>
      <tp t="s">
        <v>#N/A N/A</v>
        <stp/>
        <stp>BDH|15162825098656485252</stp>
        <tr r="F70" s="3"/>
      </tp>
      <tp t="s">
        <v>#N/A N/A</v>
        <stp/>
        <stp>BDH|17256031459836523473</stp>
        <tr r="Q28" s="4"/>
      </tp>
      <tp t="s">
        <v>#N/A N/A</v>
        <stp/>
        <stp>BDH|18299674583171484788</stp>
        <tr r="S54" s="4"/>
      </tp>
      <tp t="s">
        <v>#N/A N/A</v>
        <stp/>
        <stp>BDH|10367221524596847675</stp>
        <tr r="C38" s="2"/>
      </tp>
      <tp t="s">
        <v>#N/A N/A</v>
        <stp/>
        <stp>BDH|11065366933172816377</stp>
        <tr r="H85" s="3"/>
      </tp>
      <tp t="s">
        <v>#N/A N/A</v>
        <stp/>
        <stp>BDH|10967442406713370723</stp>
        <tr r="U65" s="3"/>
      </tp>
      <tp t="s">
        <v>#N/A N/A</v>
        <stp/>
        <stp>BDH|10655106935760897218</stp>
        <tr r="L61" s="2"/>
      </tp>
      <tp t="s">
        <v>#N/A N/A</v>
        <stp/>
        <stp>BDH|10385726915701750799</stp>
        <tr r="W40" s="4"/>
      </tp>
      <tp t="s">
        <v>#N/A N/A</v>
        <stp/>
        <stp>BDH|11531484042286308760</stp>
        <tr r="X71" s="2"/>
      </tp>
      <tp t="s">
        <v>#N/A N/A</v>
        <stp/>
        <stp>BDH|10405144230885884720</stp>
        <tr r="Z86" s="3"/>
      </tp>
      <tp t="s">
        <v>#N/A N/A</v>
        <stp/>
        <stp>BDH|15281389821874564034</stp>
        <tr r="Y16" s="4"/>
      </tp>
      <tp t="s">
        <v>#N/A N/A</v>
        <stp/>
        <stp>BDH|16668273875841025295</stp>
        <tr r="K13" s="4"/>
      </tp>
      <tp t="s">
        <v>#N/A N/A</v>
        <stp/>
        <stp>BDH|12791326029092641173</stp>
        <tr r="Z19" s="3"/>
      </tp>
      <tp t="s">
        <v>#N/A N/A</v>
        <stp/>
        <stp>BDH|15401013299894506844</stp>
        <tr r="N8" s="4"/>
      </tp>
      <tp t="s">
        <v>#N/A N/A</v>
        <stp/>
        <stp>BDH|11076422452364461490</stp>
        <tr r="N65" s="4"/>
      </tp>
      <tp t="s">
        <v>#N/A N/A</v>
        <stp/>
        <stp>BDH|14919960511295249910</stp>
        <tr r="Z47" s="4"/>
      </tp>
      <tp t="s">
        <v>#N/A N/A</v>
        <stp/>
        <stp>BDH|16570111815723558591</stp>
        <tr r="C46" s="4"/>
      </tp>
      <tp t="s">
        <v>#N/A N/A</v>
        <stp/>
        <stp>BDH|15361660879295982188</stp>
        <tr r="Y62" s="4"/>
      </tp>
      <tp t="s">
        <v>#N/A N/A</v>
        <stp/>
        <stp>BDH|10662700213100089694</stp>
        <tr r="I46" s="2"/>
      </tp>
      <tp t="s">
        <v>#N/A N/A</v>
        <stp/>
        <stp>BDH|18121971639815210710</stp>
        <tr r="G54" s="3"/>
      </tp>
      <tp t="s">
        <v>#N/A N/A</v>
        <stp/>
        <stp>BDH|12582640456454258594</stp>
        <tr r="R17" s="2"/>
      </tp>
      <tp t="s">
        <v>#N/A N/A</v>
        <stp/>
        <stp>BDH|17695606809206394708</stp>
        <tr r="Y48" s="3"/>
      </tp>
      <tp t="s">
        <v>#N/A N/A</v>
        <stp/>
        <stp>BDH|12173116090658934258</stp>
        <tr r="M83" s="3"/>
      </tp>
      <tp t="s">
        <v>#N/A N/A</v>
        <stp/>
        <stp>BDH|12536926787544990758</stp>
        <tr r="E67" s="2"/>
      </tp>
      <tp t="s">
        <v>#N/A N/A</v>
        <stp/>
        <stp>BDH|17502444753106812062</stp>
        <tr r="K46" s="3"/>
      </tp>
      <tp t="s">
        <v>#N/A N/A</v>
        <stp/>
        <stp>BDH|12212882326521533950</stp>
        <tr r="J14" s="3"/>
      </tp>
      <tp t="s">
        <v>#N/A N/A</v>
        <stp/>
        <stp>BDH|10173631839003645616</stp>
        <tr r="P31" s="3"/>
      </tp>
      <tp t="s">
        <v>#N/A N/A</v>
        <stp/>
        <stp>BDH|14854743822517204639</stp>
        <tr r="V50" s="3"/>
      </tp>
      <tp t="s">
        <v>#N/A N/A</v>
        <stp/>
        <stp>BDH|16673852343379899372</stp>
        <tr r="N27" s="2"/>
      </tp>
      <tp t="s">
        <v>#N/A N/A</v>
        <stp/>
        <stp>BDH|14770744674951978510</stp>
        <tr r="K71" s="3"/>
      </tp>
      <tp t="s">
        <v>#N/A N/A</v>
        <stp/>
        <stp>BDH|12119088676490491547</stp>
        <tr r="H31" s="4"/>
      </tp>
      <tp t="s">
        <v>#N/A N/A</v>
        <stp/>
        <stp>BDH|12486241553124934159</stp>
        <tr r="X13" s="4"/>
      </tp>
      <tp t="s">
        <v>#N/A N/A</v>
        <stp/>
        <stp>BDH|13722107946107971172</stp>
        <tr r="S16" s="3"/>
      </tp>
      <tp t="s">
        <v>#N/A N/A</v>
        <stp/>
        <stp>BDH|13593488035513414734</stp>
        <tr r="M33" s="2"/>
      </tp>
      <tp t="s">
        <v>#N/A N/A</v>
        <stp/>
        <stp>BDH|15451424238616785469</stp>
        <tr r="R43" s="3"/>
      </tp>
      <tp t="s">
        <v>#N/A N/A</v>
        <stp/>
        <stp>BDH|10059801652349598488</stp>
        <tr r="Z26" s="3"/>
      </tp>
      <tp t="s">
        <v>#N/A N/A</v>
        <stp/>
        <stp>BDH|16063804268621546924</stp>
        <tr r="X32" s="2"/>
      </tp>
      <tp t="s">
        <v>#N/A N/A</v>
        <stp/>
        <stp>BDH|11802190208229189962</stp>
        <tr r="K45" s="4"/>
      </tp>
      <tp t="s">
        <v>#N/A N/A</v>
        <stp/>
        <stp>BDH|14671578359506279245</stp>
        <tr r="Z62" s="4"/>
      </tp>
      <tp t="s">
        <v>#N/A N/A</v>
        <stp/>
        <stp>BDH|10241799610811399763</stp>
        <tr r="H70" s="2"/>
      </tp>
      <tp t="s">
        <v>#N/A N/A</v>
        <stp/>
        <stp>BDH|14862552014860400030</stp>
        <tr r="W52" s="4"/>
      </tp>
      <tp t="s">
        <v>#N/A N/A</v>
        <stp/>
        <stp>BDH|16807587928444345555</stp>
        <tr r="O11" s="2"/>
      </tp>
      <tp t="s">
        <v>#N/A N/A</v>
        <stp/>
        <stp>BDH|10587633468049684963</stp>
        <tr r="K11" s="2"/>
      </tp>
      <tp t="s">
        <v>#N/A N/A</v>
        <stp/>
        <stp>BDH|16684736015399151802</stp>
        <tr r="L11" s="4"/>
      </tp>
      <tp t="s">
        <v>#N/A N/A</v>
        <stp/>
        <stp>BDH|12464764872475789662</stp>
        <tr r="H13" s="4"/>
      </tp>
      <tp t="s">
        <v>#N/A N/A</v>
        <stp/>
        <stp>BDH|14303944092787652225</stp>
        <tr r="L6" s="2"/>
      </tp>
      <tp t="s">
        <v>#N/A N/A</v>
        <stp/>
        <stp>BDH|10038304203124510676</stp>
        <tr r="U65" s="4"/>
      </tp>
      <tp t="s">
        <v>#N/A N/A</v>
        <stp/>
        <stp>BDH|16714154817012749530</stp>
        <tr r="S21" s="3"/>
      </tp>
      <tp t="s">
        <v>#N/A N/A</v>
        <stp/>
        <stp>BDH|14277522002081739147</stp>
        <tr r="I91" s="3"/>
      </tp>
      <tp t="s">
        <v>#N/A N/A</v>
        <stp/>
        <stp>BDH|11431627065092760257</stp>
        <tr r="H49" s="3"/>
      </tp>
      <tp t="s">
        <v>#N/A N/A</v>
        <stp/>
        <stp>BDH|11980617808446082008</stp>
        <tr r="Y27" s="2"/>
      </tp>
      <tp t="s">
        <v>#N/A N/A</v>
        <stp/>
        <stp>BDH|12796734116186733357</stp>
        <tr r="O24" s="4"/>
      </tp>
      <tp t="s">
        <v>#N/A N/A</v>
        <stp/>
        <stp>BDH|18306254581875515622</stp>
        <tr r="F31" s="3"/>
      </tp>
      <tp t="s">
        <v>#N/A N/A</v>
        <stp/>
        <stp>BDH|16731713617127077619</stp>
        <tr r="G19" s="3"/>
      </tp>
      <tp t="s">
        <v>#N/A N/A</v>
        <stp/>
        <stp>BDH|12983189643554604249</stp>
        <tr r="K55" s="3"/>
      </tp>
      <tp t="s">
        <v>#N/A N/A</v>
        <stp/>
        <stp>BDH|12454858145628520714</stp>
        <tr r="E39" s="2"/>
      </tp>
      <tp t="s">
        <v>#N/A N/A</v>
        <stp/>
        <stp>BDH|13505375532464359638</stp>
        <tr r="F28" s="4"/>
      </tp>
      <tp t="s">
        <v>#N/A N/A</v>
        <stp/>
        <stp>BDH|16832416215101913359</stp>
        <tr r="O63" s="2"/>
      </tp>
      <tp t="s">
        <v>#N/A N/A</v>
        <stp/>
        <stp>BDH|15328550536457778572</stp>
        <tr r="O44" s="3"/>
      </tp>
      <tp t="s">
        <v>#N/A N/A</v>
        <stp/>
        <stp>BDH|17460447160094945095</stp>
        <tr r="S37" s="4"/>
      </tp>
      <tp t="s">
        <v>#N/A N/A</v>
        <stp/>
        <stp>BDH|14161701288772832816</stp>
        <tr r="H32" s="3"/>
      </tp>
      <tp t="s">
        <v>#N/A N/A</v>
        <stp/>
        <stp>BDH|14428330847321151310</stp>
        <tr r="W39" s="3"/>
      </tp>
      <tp t="s">
        <v>#N/A N/A</v>
        <stp/>
        <stp>BDH|16860600142987147281</stp>
        <tr r="D12" s="2"/>
      </tp>
      <tp t="s">
        <v>#N/A N/A</v>
        <stp/>
        <stp>BDH|16713510004767981584</stp>
        <tr r="H38" s="3"/>
      </tp>
      <tp t="s">
        <v>#N/A N/A</v>
        <stp/>
        <stp>BDH|12680415670442615221</stp>
        <tr r="I36" s="4"/>
      </tp>
      <tp t="s">
        <v>#N/A N/A</v>
        <stp/>
        <stp>BDH|12596678332146700049</stp>
        <tr r="V9" s="2"/>
      </tp>
      <tp t="s">
        <v>#N/A N/A</v>
        <stp/>
        <stp>BDH|15549012487059318539</stp>
        <tr r="X22" s="3"/>
      </tp>
      <tp t="s">
        <v>#N/A N/A</v>
        <stp/>
        <stp>BDH|11651340115507655528</stp>
        <tr r="U71" s="3"/>
      </tp>
      <tp t="s">
        <v>#N/A N/A</v>
        <stp/>
        <stp>BDH|17444947663871851883</stp>
        <tr r="K68" s="3"/>
      </tp>
      <tp t="s">
        <v>#N/A N/A</v>
        <stp/>
        <stp>BDH|15230368673805768537</stp>
        <tr r="N18" s="3"/>
      </tp>
      <tp t="s">
        <v>#N/A N/A</v>
        <stp/>
        <stp>BDH|14089495861721845638</stp>
        <tr r="I70" s="2"/>
      </tp>
      <tp t="s">
        <v>#N/A N/A</v>
        <stp/>
        <stp>BDH|18154142053879328469</stp>
        <tr r="H42" s="2"/>
      </tp>
      <tp t="s">
        <v>#N/A N/A</v>
        <stp/>
        <stp>BDH|10463095118451072164</stp>
        <tr r="M25" s="3"/>
      </tp>
      <tp t="s">
        <v>#N/A N/A</v>
        <stp/>
        <stp>BDH|10099562440678643821</stp>
        <tr r="H29" s="4"/>
      </tp>
      <tp t="s">
        <v>#N/A N/A</v>
        <stp/>
        <stp>BDH|15009811073042888981</stp>
        <tr r="L24" s="4"/>
      </tp>
      <tp t="s">
        <v>#N/A N/A</v>
        <stp/>
        <stp>BDH|14833715233559057888</stp>
        <tr r="S41" s="3"/>
      </tp>
      <tp t="s">
        <v>#N/A N/A</v>
        <stp/>
        <stp>BDH|15935369829216644321</stp>
        <tr r="H72" s="2"/>
      </tp>
      <tp t="s">
        <v>#N/A N/A</v>
        <stp/>
        <stp>BDH|10535919043488071455</stp>
        <tr r="I20" s="3"/>
      </tp>
      <tp t="s">
        <v>#N/A N/A</v>
        <stp/>
        <stp>BDH|14446188658257341656</stp>
        <tr r="K28" s="2"/>
      </tp>
      <tp t="s">
        <v>#N/A N/A</v>
        <stp/>
        <stp>BDH|14060135051504662563</stp>
        <tr r="T58" s="3"/>
      </tp>
      <tp t="s">
        <v>#N/A N/A</v>
        <stp/>
        <stp>BDH|12358305820671638374</stp>
        <tr r="K13" s="3"/>
      </tp>
      <tp t="s">
        <v>#N/A N/A</v>
        <stp/>
        <stp>BDH|11665191768613037452</stp>
        <tr r="X27" s="3"/>
      </tp>
      <tp t="s">
        <v>#N/A N/A</v>
        <stp/>
        <stp>BDH|17994586422849143804</stp>
        <tr r="U34" s="2"/>
      </tp>
      <tp t="s">
        <v>#N/A N/A</v>
        <stp/>
        <stp>BDH|18146277806908616335</stp>
        <tr r="Q15" s="2"/>
      </tp>
      <tp t="s">
        <v>#N/A N/A</v>
        <stp/>
        <stp>BDH|11578701902771071625</stp>
        <tr r="V46" s="2"/>
      </tp>
      <tp t="s">
        <v>#N/A N/A</v>
        <stp/>
        <stp>BDH|11293212195929074235</stp>
        <tr r="Z23" s="4"/>
      </tp>
      <tp t="s">
        <v>#N/A N/A</v>
        <stp/>
        <stp>BDH|14742877356789174125</stp>
        <tr r="Z33" s="2"/>
      </tp>
      <tp t="s">
        <v>#N/A N/A</v>
        <stp/>
        <stp>BDH|14632625524542555303</stp>
        <tr r="L31" s="3"/>
      </tp>
      <tp t="s">
        <v>#N/A N/A</v>
        <stp/>
        <stp>BDH|10073734396177745873</stp>
        <tr r="Q25" s="2"/>
      </tp>
      <tp t="s">
        <v>#N/A N/A</v>
        <stp/>
        <stp>BDH|15958909379573348976</stp>
        <tr r="L26" s="3"/>
      </tp>
      <tp t="s">
        <v>#N/A N/A</v>
        <stp/>
        <stp>BDH|15264083611990711585</stp>
        <tr r="Q40" s="2"/>
      </tp>
      <tp t="s">
        <v>#N/A N/A</v>
        <stp/>
        <stp>BDH|11530125538300891233</stp>
        <tr r="X22" s="2"/>
      </tp>
      <tp t="s">
        <v>#N/A N/A</v>
        <stp/>
        <stp>BDH|15808371848394057739</stp>
        <tr r="O66" s="3"/>
      </tp>
      <tp t="s">
        <v>#N/A N/A</v>
        <stp/>
        <stp>BDH|16116516763722690617</stp>
        <tr r="N18" s="4"/>
      </tp>
      <tp t="s">
        <v>#N/A N/A</v>
        <stp/>
        <stp>BDH|10724109928211304384</stp>
        <tr r="C34" s="4"/>
      </tp>
      <tp t="s">
        <v>#N/A N/A</v>
        <stp/>
        <stp>BDH|11379105447852542752</stp>
        <tr r="D51" s="2"/>
      </tp>
      <tp t="s">
        <v>#N/A N/A</v>
        <stp/>
        <stp>BDH|14886782003224670613</stp>
        <tr r="R13" s="3"/>
      </tp>
      <tp t="s">
        <v>#N/A N/A</v>
        <stp/>
        <stp>BDH|16459421241745115221</stp>
        <tr r="W72" s="3"/>
      </tp>
      <tp t="s">
        <v>#N/A N/A</v>
        <stp/>
        <stp>BDH|18245200675359518564</stp>
        <tr r="F54" s="3"/>
      </tp>
      <tp t="s">
        <v>#N/A N/A</v>
        <stp/>
        <stp>BDH|10998189266304152224</stp>
        <tr r="N49" s="4"/>
      </tp>
      <tp t="s">
        <v>#N/A N/A</v>
        <stp/>
        <stp>BDH|11477112259046906217</stp>
        <tr r="K20" s="2"/>
      </tp>
      <tp t="s">
        <v>#N/A N/A</v>
        <stp/>
        <stp>BDH|18367590309729455536</stp>
        <tr r="P13" s="4"/>
      </tp>
      <tp t="s">
        <v>#N/A N/A</v>
        <stp/>
        <stp>BDH|11675876897133645245</stp>
        <tr r="I30" s="3"/>
      </tp>
      <tp t="s">
        <v>#N/A N/A</v>
        <stp/>
        <stp>BDH|13682046869005986162</stp>
        <tr r="T49" s="2"/>
      </tp>
      <tp t="s">
        <v>#N/A N/A</v>
        <stp/>
        <stp>BDH|10217098714798830807</stp>
        <tr r="X24" s="3"/>
      </tp>
      <tp t="s">
        <v>#N/A N/A</v>
        <stp/>
        <stp>BDH|14731352359284983751</stp>
        <tr r="H58" s="4"/>
      </tp>
      <tp t="s">
        <v>#N/A N/A</v>
        <stp/>
        <stp>BDH|14117109150709579837</stp>
        <tr r="M46" s="4"/>
      </tp>
      <tp t="s">
        <v>#N/A N/A</v>
        <stp/>
        <stp>BDH|14024158404254308056</stp>
        <tr r="Q38" s="2"/>
      </tp>
      <tp t="s">
        <v>#N/A N/A</v>
        <stp/>
        <stp>BDH|12380106116682228106</stp>
        <tr r="N27" s="3"/>
      </tp>
      <tp t="s">
        <v>#N/A N/A</v>
        <stp/>
        <stp>BDH|12706212726956185561</stp>
        <tr r="Z28" s="2"/>
      </tp>
      <tp t="s">
        <v>#N/A N/A</v>
        <stp/>
        <stp>BDH|14096524917287257608</stp>
        <tr r="M40" s="2"/>
      </tp>
      <tp t="s">
        <v>#N/A N/A</v>
        <stp/>
        <stp>BDH|18054391312558909357</stp>
        <tr r="T16" s="2"/>
      </tp>
      <tp t="s">
        <v>#N/A N/A</v>
        <stp/>
        <stp>BDH|15114059021150566679</stp>
        <tr r="P44" s="4"/>
      </tp>
      <tp t="s">
        <v>#N/A N/A</v>
        <stp/>
        <stp>BDH|12813690909364775181</stp>
        <tr r="I44" s="4"/>
      </tp>
      <tp t="s">
        <v>#N/A N/A</v>
        <stp/>
        <stp>BDH|17544552512205493704</stp>
        <tr r="S57" s="3"/>
      </tp>
      <tp t="s">
        <v>#N/A N/A</v>
        <stp/>
        <stp>BDH|13105565497808314654</stp>
        <tr r="S42" s="2"/>
      </tp>
      <tp t="s">
        <v>#N/A N/A</v>
        <stp/>
        <stp>BDH|13412769773202718008</stp>
        <tr r="J26" s="3"/>
      </tp>
      <tp t="s">
        <v>#N/A N/A</v>
        <stp/>
        <stp>BDH|14954499932930006246</stp>
        <tr r="R86" s="3"/>
      </tp>
      <tp t="s">
        <v>#N/A N/A</v>
        <stp/>
        <stp>BDH|14919376860261058182</stp>
        <tr r="Y48" s="4"/>
      </tp>
      <tp t="s">
        <v>#N/A N/A</v>
        <stp/>
        <stp>BDH|17956447085099776397</stp>
        <tr r="I14" s="4"/>
      </tp>
      <tp t="s">
        <v>#N/A N/A</v>
        <stp/>
        <stp>BDH|12477107610642332114</stp>
        <tr r="E51" s="3"/>
      </tp>
      <tp t="s">
        <v>#N/A N/A</v>
        <stp/>
        <stp>BDH|14472128361594462659</stp>
        <tr r="G32" s="4"/>
      </tp>
      <tp t="s">
        <v>#N/A N/A</v>
        <stp/>
        <stp>BDH|14794550636852413165</stp>
        <tr r="D72" s="3"/>
      </tp>
      <tp t="s">
        <v>#N/A N/A</v>
        <stp/>
        <stp>BDH|18136365888333972106</stp>
        <tr r="N34" s="3"/>
      </tp>
      <tp t="s">
        <v>#N/A N/A</v>
        <stp/>
        <stp>BDH|16604780918595021403</stp>
        <tr r="G12" s="3"/>
      </tp>
      <tp t="s">
        <v>#N/A N/A</v>
        <stp/>
        <stp>BDH|10379509579272047132</stp>
        <tr r="L11" s="2"/>
      </tp>
      <tp t="s">
        <v>#N/A N/A</v>
        <stp/>
        <stp>BDH|13901265509886633694</stp>
        <tr r="T66" s="4"/>
      </tp>
      <tp t="s">
        <v>#N/A N/A</v>
        <stp/>
        <stp>BDH|18367994806992398268</stp>
        <tr r="P51" s="2"/>
      </tp>
      <tp t="s">
        <v>#N/A N/A</v>
        <stp/>
        <stp>BDH|12420448518722640470</stp>
        <tr r="D40" s="3"/>
      </tp>
      <tp t="s">
        <v>#N/A N/A</v>
        <stp/>
        <stp>BDH|18047008049644675964</stp>
        <tr r="T71" s="2"/>
      </tp>
      <tp t="s">
        <v>#N/A N/A</v>
        <stp/>
        <stp>BDH|15889723852941726768</stp>
        <tr r="D69" s="2"/>
      </tp>
      <tp t="s">
        <v>#N/A N/A</v>
        <stp/>
        <stp>BDH|12470316602016894667</stp>
        <tr r="L46" s="3"/>
      </tp>
      <tp t="s">
        <v>#N/A N/A</v>
        <stp/>
        <stp>BDH|11795083043101326565</stp>
        <tr r="F40" s="3"/>
      </tp>
      <tp t="s">
        <v>#N/A N/A</v>
        <stp/>
        <stp>BDH|13885082660197069387</stp>
        <tr r="X15" s="3"/>
      </tp>
      <tp t="s">
        <v>#N/A N/A</v>
        <stp/>
        <stp>BDH|14360409372451075794</stp>
        <tr r="P44" s="3"/>
      </tp>
      <tp t="s">
        <v>#N/A N/A</v>
        <stp/>
        <stp>BDH|18245588992565967091</stp>
        <tr r="Z63" s="3"/>
      </tp>
      <tp t="s">
        <v>#N/A N/A</v>
        <stp/>
        <stp>BDH|16941889854819985341</stp>
        <tr r="Y31" s="3"/>
      </tp>
      <tp t="s">
        <v>#N/A N/A</v>
        <stp/>
        <stp>BDH|15876168255782361208</stp>
        <tr r="N20" s="2"/>
      </tp>
      <tp t="s">
        <v>#N/A N/A</v>
        <stp/>
        <stp>BDH|10972007071243436544</stp>
        <tr r="T55" s="2"/>
      </tp>
      <tp t="s">
        <v>#N/A N/A</v>
        <stp/>
        <stp>BDH|14494095437516056016</stp>
        <tr r="E13" s="3"/>
      </tp>
      <tp t="s">
        <v>#N/A N/A</v>
        <stp/>
        <stp>BDH|17358287050688481946</stp>
        <tr r="W10" s="3"/>
      </tp>
      <tp t="s">
        <v>#N/A N/A</v>
        <stp/>
        <stp>BDH|14345471397869166193</stp>
        <tr r="F15" s="3"/>
      </tp>
      <tp t="s">
        <v>#N/A N/A</v>
        <stp/>
        <stp>BDH|11328169555083956726</stp>
        <tr r="D29" s="3"/>
      </tp>
      <tp t="s">
        <v>#N/A N/A</v>
        <stp/>
        <stp>BDH|11080093031642108122</stp>
        <tr r="J54" s="2"/>
      </tp>
      <tp t="s">
        <v>#N/A N/A</v>
        <stp/>
        <stp>BDH|14846097777687431599</stp>
        <tr r="N63" s="2"/>
      </tp>
      <tp t="s">
        <v>#N/A N/A</v>
        <stp/>
        <stp>BDH|17664028492216919940</stp>
        <tr r="I48" s="3"/>
      </tp>
      <tp t="s">
        <v>#N/A N/A</v>
        <stp/>
        <stp>BDH|11833577063887278457</stp>
        <tr r="E32" s="4"/>
      </tp>
      <tp t="s">
        <v>#N/A N/A</v>
        <stp/>
        <stp>BDH|15017777059455703320</stp>
        <tr r="E64" s="2"/>
      </tp>
      <tp t="s">
        <v>#N/A N/A</v>
        <stp/>
        <stp>BDH|10142506148319241907</stp>
        <tr r="J78" s="3"/>
      </tp>
      <tp t="s">
        <v>#N/A N/A</v>
        <stp/>
        <stp>BDH|17841089345711910379</stp>
        <tr r="O74" s="3"/>
      </tp>
      <tp t="s">
        <v>#N/A N/A</v>
        <stp/>
        <stp>BDH|13682451969471854199</stp>
        <tr r="E73" s="3"/>
      </tp>
      <tp t="s">
        <v>#N/A N/A</v>
        <stp/>
        <stp>BDH|11154636519216358134</stp>
        <tr r="Q37" s="2"/>
      </tp>
      <tp t="s">
        <v>#N/A N/A</v>
        <stp/>
        <stp>BDH|14440568650684874118</stp>
        <tr r="X20" s="2"/>
      </tp>
      <tp t="s">
        <v>#N/A N/A</v>
        <stp/>
        <stp>BDH|17110276667211227398</stp>
        <tr r="Z66" s="2"/>
      </tp>
      <tp t="s">
        <v>#N/A N/A</v>
        <stp/>
        <stp>BDH|14564592337174354721</stp>
        <tr r="C18" s="2"/>
      </tp>
      <tp t="s">
        <v>#N/A N/A</v>
        <stp/>
        <stp>BDH|11084701399926532863</stp>
        <tr r="N20" s="3"/>
      </tp>
      <tp t="s">
        <v>#N/A N/A</v>
        <stp/>
        <stp>BDH|11567073009670718065</stp>
        <tr r="I46" s="4"/>
      </tp>
      <tp t="s">
        <v>#N/A N/A</v>
        <stp/>
        <stp>BDH|10438521699008512505</stp>
        <tr r="R32" s="3"/>
      </tp>
      <tp t="s">
        <v>#N/A N/A</v>
        <stp/>
        <stp>BDH|18161186599413331291</stp>
        <tr r="H28" s="3"/>
      </tp>
      <tp t="s">
        <v>#N/A N/A</v>
        <stp/>
        <stp>BDH|15813315207063593418</stp>
        <tr r="C9" s="4"/>
      </tp>
      <tp t="s">
        <v>#N/A N/A</v>
        <stp/>
        <stp>BDH|11950673523324296059</stp>
        <tr r="O90" s="3"/>
      </tp>
      <tp t="s">
        <v>#N/A N/A</v>
        <stp/>
        <stp>BDH|17986520943103657434</stp>
        <tr r="C19" s="3"/>
      </tp>
      <tp t="s">
        <v>#N/A N/A</v>
        <stp/>
        <stp>BDH|16009125558492055178</stp>
        <tr r="T37" s="2"/>
      </tp>
      <tp t="s">
        <v>#N/A N/A</v>
        <stp/>
        <stp>BDH|10523693931682567653</stp>
        <tr r="N65" s="3"/>
      </tp>
      <tp t="s">
        <v>#N/A N/A</v>
        <stp/>
        <stp>BDH|15824713175086756264</stp>
        <tr r="K28" s="3"/>
      </tp>
      <tp t="s">
        <v>#N/A N/A</v>
        <stp/>
        <stp>BDH|10639161908397078752</stp>
        <tr r="E27" s="4"/>
      </tp>
      <tp t="s">
        <v>#N/A N/A</v>
        <stp/>
        <stp>BDH|13048076623960143094</stp>
        <tr r="X63" s="4"/>
      </tp>
      <tp t="s">
        <v>#N/A N/A</v>
        <stp/>
        <stp>BDH|12080487736693076724</stp>
        <tr r="X14" s="2"/>
      </tp>
      <tp t="s">
        <v>#N/A N/A</v>
        <stp/>
        <stp>BDH|15956169753482927293</stp>
        <tr r="N62" s="3"/>
      </tp>
      <tp t="s">
        <v>#N/A N/A</v>
        <stp/>
        <stp>BDH|17234282024193795550</stp>
        <tr r="P38" s="3"/>
      </tp>
      <tp t="s">
        <v>#N/A N/A</v>
        <stp/>
        <stp>BDH|15588713170656037286</stp>
        <tr r="X60" s="3"/>
      </tp>
      <tp t="s">
        <v>#N/A N/A</v>
        <stp/>
        <stp>BDH|17284976632635910925</stp>
        <tr r="K62" s="3"/>
      </tp>
      <tp t="s">
        <v>#N/A N/A</v>
        <stp/>
        <stp>BDH|11790223294612485997</stp>
        <tr r="D7" s="2"/>
      </tp>
      <tp t="s">
        <v>#N/A N/A</v>
        <stp/>
        <stp>BDH|14124279129925118022</stp>
        <tr r="H30" s="2"/>
      </tp>
      <tp t="s">
        <v>#N/A N/A</v>
        <stp/>
        <stp>BDH|17158234805297976323</stp>
        <tr r="O30" s="4"/>
      </tp>
      <tp t="s">
        <v>#N/A N/A</v>
        <stp/>
        <stp>BDH|17424106593179851734</stp>
        <tr r="S64" s="3"/>
      </tp>
      <tp t="s">
        <v>#N/A N/A</v>
        <stp/>
        <stp>BDH|17528368851628415895</stp>
        <tr r="O67" s="3"/>
      </tp>
      <tp t="s">
        <v>#N/A N/A</v>
        <stp/>
        <stp>BDH|12240866949197381813</stp>
        <tr r="K33" s="3"/>
      </tp>
      <tp t="s">
        <v>#N/A N/A</v>
        <stp/>
        <stp>BDH|17093815946593865900</stp>
        <tr r="P50" s="4"/>
      </tp>
      <tp t="s">
        <v>#N/A N/A</v>
        <stp/>
        <stp>BDH|12684360251797930271</stp>
        <tr r="F54" s="2"/>
      </tp>
      <tp t="s">
        <v>#N/A N/A</v>
        <stp/>
        <stp>BDH|17912585249701585626</stp>
        <tr r="S54" s="2"/>
      </tp>
      <tp t="s">
        <v>#N/A N/A</v>
        <stp/>
        <stp>BDH|15293458117691934068</stp>
        <tr r="R11" s="4"/>
      </tp>
      <tp t="s">
        <v>#N/A N/A</v>
        <stp/>
        <stp>BDH|11432686815143621405</stp>
        <tr r="Y11" s="3"/>
      </tp>
      <tp t="s">
        <v>#N/A N/A</v>
        <stp/>
        <stp>BDH|17121115300003935464</stp>
        <tr r="Q26" s="2"/>
      </tp>
      <tp t="s">
        <v>#N/A N/A</v>
        <stp/>
        <stp>BDH|14053546248757315305</stp>
        <tr r="U7" s="4"/>
      </tp>
      <tp t="s">
        <v>#N/A N/A</v>
        <stp/>
        <stp>BDH|14206250859356171403</stp>
        <tr r="Q48" s="4"/>
      </tp>
      <tp t="s">
        <v>#N/A N/A</v>
        <stp/>
        <stp>BDH|14967633134316544647</stp>
        <tr r="C18" s="4"/>
      </tp>
      <tp t="s">
        <v>#N/A N/A</v>
        <stp/>
        <stp>BDH|11980321228005428491</stp>
        <tr r="F25" s="4"/>
      </tp>
      <tp t="s">
        <v>#N/A N/A</v>
        <stp/>
        <stp>BDH|16962079521005800091</stp>
        <tr r="N51" s="2"/>
      </tp>
      <tp t="s">
        <v>#N/A N/A</v>
        <stp/>
        <stp>BDH|14468525438686997592</stp>
        <tr r="S43" s="2"/>
      </tp>
      <tp t="s">
        <v>#N/A N/A</v>
        <stp/>
        <stp>BDH|16155892369751861875</stp>
        <tr r="M35" s="4"/>
      </tp>
      <tp t="s">
        <v>#N/A N/A</v>
        <stp/>
        <stp>BDH|11910573811562824697</stp>
        <tr r="P52" s="3"/>
      </tp>
      <tp t="s">
        <v>#N/A N/A</v>
        <stp/>
        <stp>BDH|11239561942444051581</stp>
        <tr r="Q52" s="3"/>
      </tp>
      <tp t="s">
        <v>#N/A N/A</v>
        <stp/>
        <stp>BDH|13603558148010082352</stp>
        <tr r="H23" s="3"/>
      </tp>
      <tp t="s">
        <v>#N/A N/A</v>
        <stp/>
        <stp>BDH|14923509994838302104</stp>
        <tr r="F10" s="3"/>
      </tp>
      <tp t="s">
        <v>#N/A N/A</v>
        <stp/>
        <stp>BDH|11972610860071252144</stp>
        <tr r="N57" s="3"/>
      </tp>
      <tp t="s">
        <v>#N/A N/A</v>
        <stp/>
        <stp>BDH|14951167048153901305</stp>
        <tr r="Q90" s="3"/>
      </tp>
      <tp t="s">
        <v>#N/A N/A</v>
        <stp/>
        <stp>BDH|16874162784306083848</stp>
        <tr r="M43" s="2"/>
      </tp>
      <tp t="s">
        <v>#N/A N/A</v>
        <stp/>
        <stp>BDH|17699029511164959322</stp>
        <tr r="F42" s="2"/>
      </tp>
      <tp t="s">
        <v>#N/A N/A</v>
        <stp/>
        <stp>BDH|14875555959612313791</stp>
        <tr r="L60" s="4"/>
      </tp>
      <tp t="s">
        <v>#N/A N/A</v>
        <stp/>
        <stp>BDH|10902851672129664762</stp>
        <tr r="C22" s="2"/>
      </tp>
      <tp t="s">
        <v>#N/A N/A</v>
        <stp/>
        <stp>BDH|10258053416016987197</stp>
        <tr r="H11" s="2"/>
      </tp>
      <tp t="s">
        <v>#N/A N/A</v>
        <stp/>
        <stp>BDH|13749598518212602310</stp>
        <tr r="M10" s="4"/>
      </tp>
      <tp t="s">
        <v>#N/A N/A</v>
        <stp/>
        <stp>BDH|15240214977411682732</stp>
        <tr r="D93" s="3"/>
      </tp>
      <tp t="s">
        <v>#N/A N/A</v>
        <stp/>
        <stp>BDH|16551612327244233008</stp>
        <tr r="P15" s="4"/>
      </tp>
      <tp t="s">
        <v>#N/A N/A</v>
        <stp/>
        <stp>BDH|12793507314064627441</stp>
        <tr r="X76" s="3"/>
      </tp>
      <tp t="s">
        <v>#N/A N/A</v>
        <stp/>
        <stp>BDH|15313142061064105061</stp>
        <tr r="Z59" s="4"/>
      </tp>
      <tp t="s">
        <v>#N/A N/A</v>
        <stp/>
        <stp>BDH|18430741831789808384</stp>
        <tr r="P57" s="2"/>
      </tp>
      <tp t="s">
        <v>#N/A N/A</v>
        <stp/>
        <stp>BDH|13324416176354255272</stp>
        <tr r="W24" s="4"/>
      </tp>
      <tp t="s">
        <v>#N/A N/A</v>
        <stp/>
        <stp>BDH|13468434901838743909</stp>
        <tr r="F24" s="3"/>
      </tp>
      <tp t="s">
        <v>#N/A N/A</v>
        <stp/>
        <stp>BDH|12489359063031650050</stp>
        <tr r="I86" s="3"/>
      </tp>
      <tp t="s">
        <v>#N/A N/A</v>
        <stp/>
        <stp>BDH|10248056031287637217</stp>
        <tr r="Z67" s="2"/>
      </tp>
      <tp t="s">
        <v>#N/A N/A</v>
        <stp/>
        <stp>BDH|11450261139664827224</stp>
        <tr r="T39" s="2"/>
      </tp>
      <tp t="s">
        <v>#N/A N/A</v>
        <stp/>
        <stp>BDH|18436566924680424929</stp>
        <tr r="P72" s="3"/>
      </tp>
      <tp t="s">
        <v>#N/A N/A</v>
        <stp/>
        <stp>BDH|14049755629946524198</stp>
        <tr r="C32" s="4"/>
      </tp>
      <tp t="s">
        <v>#N/A N/A</v>
        <stp/>
        <stp>BDH|18120059067919363105</stp>
        <tr r="Z68" s="2"/>
      </tp>
      <tp t="s">
        <v>#N/A N/A</v>
        <stp/>
        <stp>BDH|15335079499343486991</stp>
        <tr r="Z36" s="4"/>
      </tp>
      <tp t="s">
        <v>#N/A N/A</v>
        <stp/>
        <stp>BDH|10426509338102696299</stp>
        <tr r="L77" s="3"/>
      </tp>
      <tp t="s">
        <v>#N/A N/A</v>
        <stp/>
        <stp>BDH|13947756668610483435</stp>
        <tr r="X70" s="2"/>
      </tp>
      <tp t="s">
        <v>#N/A N/A</v>
        <stp/>
        <stp>BDH|12227477653922731726</stp>
        <tr r="P50" s="3"/>
      </tp>
      <tp t="s">
        <v>#N/A N/A</v>
        <stp/>
        <stp>BDH|11077426255912463400</stp>
        <tr r="H36" s="2"/>
      </tp>
      <tp t="s">
        <v>#N/A N/A</v>
        <stp/>
        <stp>BDH|11756512314793495055</stp>
        <tr r="T86" s="3"/>
      </tp>
      <tp t="s">
        <v>#N/A N/A</v>
        <stp/>
        <stp>BDH|15585033065232942791</stp>
        <tr r="R69" s="2"/>
      </tp>
      <tp t="s">
        <v>#N/A N/A</v>
        <stp/>
        <stp>BDH|14389000974286249362</stp>
        <tr r="G54" s="2"/>
      </tp>
      <tp t="s">
        <v>#N/A N/A</v>
        <stp/>
        <stp>BDH|11100735922760219210</stp>
        <tr r="I15" s="4"/>
      </tp>
      <tp t="s">
        <v>#N/A N/A</v>
        <stp/>
        <stp>BDH|14941015478043646652</stp>
        <tr r="I54" s="3"/>
      </tp>
      <tp t="s">
        <v>#N/A N/A</v>
        <stp/>
        <stp>BDH|11245021364596041771</stp>
        <tr r="J29" s="3"/>
      </tp>
      <tp t="s">
        <v>#N/A N/A</v>
        <stp/>
        <stp>BDH|16072402023452421446</stp>
        <tr r="M61" s="3"/>
      </tp>
      <tp t="s">
        <v>#N/A N/A</v>
        <stp/>
        <stp>BDH|12977021957171726081</stp>
        <tr r="W61" s="3"/>
      </tp>
      <tp t="s">
        <v>#N/A N/A</v>
        <stp/>
        <stp>BDH|15051703115017126270</stp>
        <tr r="W23" s="3"/>
      </tp>
      <tp t="s">
        <v>#N/A N/A</v>
        <stp/>
        <stp>BDH|13268235413831708770</stp>
        <tr r="Y28" s="2"/>
      </tp>
      <tp t="s">
        <v>#N/A N/A</v>
        <stp/>
        <stp>BDH|14237338972385533343</stp>
        <tr r="J14" s="2"/>
      </tp>
      <tp t="s">
        <v>#N/A N/A</v>
        <stp/>
        <stp>BDH|15813198546475075355</stp>
        <tr r="N22" s="3"/>
      </tp>
      <tp t="s">
        <v>#N/A N/A</v>
        <stp/>
        <stp>BDH|10817479330491857057</stp>
        <tr r="M44" s="4"/>
      </tp>
      <tp t="s">
        <v>#N/A N/A</v>
        <stp/>
        <stp>BDH|18274658299130509193</stp>
        <tr r="H20" s="2"/>
      </tp>
      <tp t="s">
        <v>#N/A N/A</v>
        <stp/>
        <stp>BDH|13080642227773083219</stp>
        <tr r="Z23" s="3"/>
      </tp>
      <tp t="s">
        <v>#N/A N/A</v>
        <stp/>
        <stp>BDH|14294651714786651378</stp>
        <tr r="K66" s="4"/>
      </tp>
      <tp t="s">
        <v>#N/A N/A</v>
        <stp/>
        <stp>BDH|17067053007294856587</stp>
        <tr r="C55" s="2"/>
      </tp>
      <tp t="s">
        <v>#N/A N/A</v>
        <stp/>
        <stp>BDH|14155632122670425618</stp>
        <tr r="U63" s="2"/>
      </tp>
      <tp t="s">
        <v>#N/A N/A</v>
        <stp/>
        <stp>BDH|15285176715306630535</stp>
        <tr r="D41" s="4"/>
      </tp>
      <tp t="s">
        <v>#N/A N/A</v>
        <stp/>
        <stp>BDH|13582042320387335072</stp>
        <tr r="Q93" s="3"/>
      </tp>
      <tp t="s">
        <v>#N/A N/A</v>
        <stp/>
        <stp>BDH|14392180932641971156</stp>
        <tr r="Q41" s="4"/>
      </tp>
      <tp t="s">
        <v>#N/A N/A</v>
        <stp/>
        <stp>BDH|16516346144251895682</stp>
        <tr r="Q44" s="4"/>
      </tp>
      <tp t="s">
        <v>#N/A N/A</v>
        <stp/>
        <stp>BDH|15718488892128922614</stp>
        <tr r="Q21" s="4"/>
      </tp>
      <tp t="s">
        <v>#N/A N/A</v>
        <stp/>
        <stp>BDH|11163251148532196388</stp>
        <tr r="C36" s="2"/>
      </tp>
      <tp t="s">
        <v>#N/A N/A</v>
        <stp/>
        <stp>BDH|16694033536515489625</stp>
        <tr r="M12" s="3"/>
      </tp>
      <tp t="s">
        <v>#N/A N/A</v>
        <stp/>
        <stp>BDH|18063111533858597423</stp>
        <tr r="G14" s="2"/>
      </tp>
      <tp t="s">
        <v>#N/A N/A</v>
        <stp/>
        <stp>BDH|16386916204129269002</stp>
        <tr r="P62" s="3"/>
      </tp>
      <tp t="s">
        <v>#N/A N/A</v>
        <stp/>
        <stp>BDH|15261752827804353273</stp>
        <tr r="N93" s="3"/>
      </tp>
      <tp t="s">
        <v>#N/A N/A</v>
        <stp/>
        <stp>BDH|10683138169812802301</stp>
        <tr r="V40" s="4"/>
      </tp>
      <tp t="s">
        <v>#N/A N/A</v>
        <stp/>
        <stp>BDH|10020629135360614355</stp>
        <tr r="K56" s="3"/>
      </tp>
      <tp t="s">
        <v>#N/A N/A</v>
        <stp/>
        <stp>BDH|18049297528029704720</stp>
        <tr r="C17" s="4"/>
      </tp>
      <tp t="s">
        <v>#N/A N/A</v>
        <stp/>
        <stp>BDH|10272765543435640051</stp>
        <tr r="K33" s="4"/>
      </tp>
      <tp t="s">
        <v>#N/A N/A</v>
        <stp/>
        <stp>BDH|14913123338685117564</stp>
        <tr r="U12" s="2"/>
      </tp>
      <tp t="s">
        <v>#N/A N/A</v>
        <stp/>
        <stp>BDH|10336022466431640151</stp>
        <tr r="X36" s="2"/>
      </tp>
      <tp t="s">
        <v>#N/A N/A</v>
        <stp/>
        <stp>BDH|12121181121274562390</stp>
        <tr r="U51" s="3"/>
      </tp>
      <tp t="s">
        <v>#N/A N/A</v>
        <stp/>
        <stp>BDH|16331825675506369930</stp>
        <tr r="X51" s="3"/>
      </tp>
      <tp t="s">
        <v>#N/A N/A</v>
        <stp/>
        <stp>BDH|11549153990947239855</stp>
        <tr r="K29" s="2"/>
      </tp>
      <tp t="s">
        <v>#N/A N/A</v>
        <stp/>
        <stp>BDH|17517265251817511102</stp>
        <tr r="X61" s="3"/>
      </tp>
      <tp t="s">
        <v>#N/A N/A</v>
        <stp/>
        <stp>BDH|14511842479968687591</stp>
        <tr r="H43" s="3"/>
      </tp>
      <tp t="s">
        <v>#N/A N/A</v>
        <stp/>
        <stp>BDH|12200222375054670547</stp>
        <tr r="Z44" s="4"/>
      </tp>
      <tp t="s">
        <v>#N/A N/A</v>
        <stp/>
        <stp>BDH|18334400184201816382</stp>
        <tr r="V52" s="4"/>
      </tp>
      <tp t="s">
        <v>#N/A N/A</v>
        <stp/>
        <stp>BDH|12477651142415637326</stp>
        <tr r="Y49" s="4"/>
      </tp>
      <tp t="s">
        <v>#N/A N/A</v>
        <stp/>
        <stp>BDH|17259017279915892357</stp>
        <tr r="Q91" s="3"/>
      </tp>
      <tp t="s">
        <v>#N/A N/A</v>
        <stp/>
        <stp>BDH|14709671451738575934</stp>
        <tr r="O9" s="4"/>
      </tp>
      <tp t="s">
        <v>#N/A N/A</v>
        <stp/>
        <stp>BDH|16410163575115577351</stp>
        <tr r="Q35" s="3"/>
      </tp>
      <tp t="s">
        <v>#N/A N/A</v>
        <stp/>
        <stp>BDH|13704492621255839618</stp>
        <tr r="G21" s="4"/>
      </tp>
      <tp t="s">
        <v>#N/A N/A</v>
        <stp/>
        <stp>BDH|14294546883406165927</stp>
        <tr r="N24" s="2"/>
      </tp>
      <tp t="s">
        <v>#N/A N/A</v>
        <stp/>
        <stp>BDH|10596543296089767365</stp>
        <tr r="R76" s="3"/>
      </tp>
      <tp t="s">
        <v>#N/A N/A</v>
        <stp/>
        <stp>BDH|16858956292503866318</stp>
        <tr r="C28" s="2"/>
      </tp>
      <tp t="s">
        <v>#N/A N/A</v>
        <stp/>
        <stp>BDH|16063445707921635537</stp>
        <tr r="F38" s="2"/>
      </tp>
      <tp t="s">
        <v>#N/A N/A</v>
        <stp/>
        <stp>BDH|13481459520882537127</stp>
        <tr r="P35" s="4"/>
      </tp>
      <tp t="s">
        <v>#N/A N/A</v>
        <stp/>
        <stp>BDH|10749276034390391715</stp>
        <tr r="T77" s="3"/>
      </tp>
      <tp t="s">
        <v>#N/A N/A</v>
        <stp/>
        <stp>BDH|14450748950743411327</stp>
        <tr r="S34" s="4"/>
      </tp>
      <tp t="s">
        <v>#N/A N/A</v>
        <stp/>
        <stp>BDH|14145331103678321942</stp>
        <tr r="I33" s="4"/>
      </tp>
      <tp t="s">
        <v>#N/A N/A</v>
        <stp/>
        <stp>BDH|11574679181980040956</stp>
        <tr r="L52" s="4"/>
      </tp>
      <tp t="s">
        <v>#N/A N/A</v>
        <stp/>
        <stp>BDH|13083061366245808610</stp>
        <tr r="H33" s="3"/>
      </tp>
      <tp t="s">
        <v>#N/A N/A</v>
        <stp/>
        <stp>BDH|12690585211158406824</stp>
        <tr r="V91" s="3"/>
      </tp>
      <tp t="s">
        <v>#N/A N/A</v>
        <stp/>
        <stp>BDH|18365013885203889567</stp>
        <tr r="E23" s="2"/>
      </tp>
      <tp t="s">
        <v>#N/A N/A</v>
        <stp/>
        <stp>BDH|18034581552738165620</stp>
        <tr r="H61" s="4"/>
      </tp>
      <tp t="s">
        <v>#N/A N/A</v>
        <stp/>
        <stp>BDH|16452558003100347589</stp>
        <tr r="E56" s="3"/>
      </tp>
      <tp t="s">
        <v>#N/A N/A</v>
        <stp/>
        <stp>BDH|17099378777665969000</stp>
        <tr r="E66" s="3"/>
      </tp>
      <tp t="s">
        <v>#N/A N/A</v>
        <stp/>
        <stp>BDH|16194252948883256577</stp>
        <tr r="P65" s="2"/>
      </tp>
      <tp t="s">
        <v>#N/A N/A</v>
        <stp/>
        <stp>BDH|16567152669580022703</stp>
        <tr r="X15" s="4"/>
      </tp>
      <tp t="s">
        <v>#N/A N/A</v>
        <stp/>
        <stp>BDH|10138386926056458127</stp>
        <tr r="R58" s="4"/>
      </tp>
      <tp t="s">
        <v>#N/A N/A</v>
        <stp/>
        <stp>BDH|13460375648414382618</stp>
        <tr r="X9" s="4"/>
      </tp>
      <tp t="s">
        <v>#N/A N/A</v>
        <stp/>
        <stp>BDH|15719312552107859251</stp>
        <tr r="J31" s="3"/>
      </tp>
      <tp t="s">
        <v>#N/A N/A</v>
        <stp/>
        <stp>BDH|16792608578026743710</stp>
        <tr r="Q65" s="3"/>
      </tp>
      <tp t="s">
        <v>#N/A N/A</v>
        <stp/>
        <stp>BDH|11929052011814232271</stp>
        <tr r="V41" s="3"/>
      </tp>
      <tp t="s">
        <v>#N/A N/A</v>
        <stp/>
        <stp>BDH|17329386043976869083</stp>
        <tr r="J57" s="2"/>
      </tp>
      <tp t="s">
        <v>#N/A N/A</v>
        <stp/>
        <stp>BDH|11698816264150919927</stp>
        <tr r="Q36" s="4"/>
      </tp>
      <tp t="s">
        <v>#N/A N/A</v>
        <stp/>
        <stp>BDH|11984956390035500211</stp>
        <tr r="Q28" s="3"/>
      </tp>
      <tp t="s">
        <v>#N/A N/A</v>
        <stp/>
        <stp>BDH|11554099855841991383</stp>
        <tr r="X42" s="4"/>
      </tp>
      <tp t="s">
        <v>#N/A N/A</v>
        <stp/>
        <stp>BDH|15564683438532455499</stp>
        <tr r="Z92" s="3"/>
      </tp>
      <tp t="s">
        <v>#N/A N/A</v>
        <stp/>
        <stp>BDH|13967437019145242598</stp>
        <tr r="N76" s="3"/>
      </tp>
      <tp t="s">
        <v>#N/A N/A</v>
        <stp/>
        <stp>BDH|10137653899199645039</stp>
        <tr r="T28" s="2"/>
      </tp>
      <tp t="s">
        <v>#N/A N/A</v>
        <stp/>
        <stp>BDH|13632152198729315407</stp>
        <tr r="N37" s="2"/>
      </tp>
      <tp t="s">
        <v>#N/A N/A</v>
        <stp/>
        <stp>BDH|17013799170104699576</stp>
        <tr r="R43" s="4"/>
      </tp>
      <tp t="s">
        <v>#N/A N/A</v>
        <stp/>
        <stp>BDH|17849246324795749477</stp>
        <tr r="E50" s="4"/>
      </tp>
      <tp t="s">
        <v>#N/A N/A</v>
        <stp/>
        <stp>BDH|16907311447633529420</stp>
        <tr r="E22" s="3"/>
      </tp>
      <tp t="s">
        <v>#N/A N/A</v>
        <stp/>
        <stp>BDH|10050463201674888643</stp>
        <tr r="V17" s="3"/>
      </tp>
      <tp t="s">
        <v>#N/A N/A</v>
        <stp/>
        <stp>BDH|13884306264690158067</stp>
        <tr r="X13" s="2"/>
      </tp>
      <tp t="s">
        <v>#N/A N/A</v>
        <stp/>
        <stp>BDH|13031558320394804665</stp>
        <tr r="H25" s="4"/>
      </tp>
      <tp t="s">
        <v>#N/A N/A</v>
        <stp/>
        <stp>BDH|13611929539448759714</stp>
        <tr r="Y21" s="4"/>
      </tp>
      <tp t="s">
        <v>#N/A N/A</v>
        <stp/>
        <stp>BDH|17374397149375074388</stp>
        <tr r="U49" s="2"/>
      </tp>
      <tp t="s">
        <v>#N/A N/A</v>
        <stp/>
        <stp>BDH|15300982392517478466</stp>
        <tr r="H70" s="3"/>
      </tp>
      <tp t="s">
        <v>#N/A N/A</v>
        <stp/>
        <stp>BDH|16826121367235796203</stp>
        <tr r="C82" s="3"/>
      </tp>
      <tp t="s">
        <v>#N/A N/A</v>
        <stp/>
        <stp>BDH|14010084046336359079</stp>
        <tr r="H28" s="2"/>
      </tp>
      <tp t="s">
        <v>#N/A N/A</v>
        <stp/>
        <stp>BDH|11590039789648172749</stp>
        <tr r="M14" s="2"/>
      </tp>
      <tp t="s">
        <v>#N/A N/A</v>
        <stp/>
        <stp>BDH|15827245633384130648</stp>
        <tr r="K43" s="2"/>
      </tp>
      <tp t="s">
        <v>#N/A N/A</v>
        <stp/>
        <stp>BDH|16191234279217184208</stp>
        <tr r="C51" s="3"/>
      </tp>
      <tp t="s">
        <v>#N/A N/A</v>
        <stp/>
        <stp>BDH|11794814049342632932</stp>
        <tr r="O38" s="3"/>
      </tp>
      <tp t="s">
        <v>#N/A N/A</v>
        <stp/>
        <stp>BDH|18232499391545567656</stp>
        <tr r="V71" s="2"/>
      </tp>
      <tp t="s">
        <v>#N/A N/A</v>
        <stp/>
        <stp>BDH|17572592755095786443</stp>
        <tr r="C25" s="2"/>
      </tp>
      <tp t="s">
        <v>#N/A N/A</v>
        <stp/>
        <stp>BDH|16415328979465599109</stp>
        <tr r="R46" s="3"/>
      </tp>
      <tp t="s">
        <v>#N/A N/A</v>
        <stp/>
        <stp>BDH|13865001512983799774</stp>
        <tr r="D15" s="4"/>
      </tp>
      <tp t="s">
        <v>#N/A N/A</v>
        <stp/>
        <stp>BDH|16514263861377195399</stp>
        <tr r="K92" s="3"/>
      </tp>
      <tp t="s">
        <v>#N/A N/A</v>
        <stp/>
        <stp>BDH|13835763489432530887</stp>
        <tr r="N52" s="2"/>
      </tp>
      <tp t="s">
        <v>#N/A N/A</v>
        <stp/>
        <stp>BDH|13871644776044121016</stp>
        <tr r="U27" s="2"/>
      </tp>
      <tp t="s">
        <v>#N/A N/A</v>
        <stp/>
        <stp>BDH|14239524724395968074</stp>
        <tr r="M19" s="2"/>
      </tp>
      <tp t="s">
        <v>#N/A N/A</v>
        <stp/>
        <stp>BDH|16860631329202166695</stp>
        <tr r="J51" s="3"/>
      </tp>
      <tp t="s">
        <v>#N/A N/A</v>
        <stp/>
        <stp>BDH|16878364934861565124</stp>
        <tr r="C27" s="3"/>
      </tp>
      <tp t="s">
        <v>#N/A N/A</v>
        <stp/>
        <stp>BDH|14457725632635998302</stp>
        <tr r="U70" s="3"/>
      </tp>
      <tp t="s">
        <v>#N/A N/A</v>
        <stp/>
        <stp>BDH|11690927749502416847</stp>
        <tr r="X41" s="4"/>
      </tp>
      <tp t="s">
        <v>#N/A N/A</v>
        <stp/>
        <stp>BDH|13312707944403306590</stp>
        <tr r="G74" s="3"/>
      </tp>
      <tp t="s">
        <v>#N/A N/A</v>
        <stp/>
        <stp>BDH|15523637413086911215</stp>
        <tr r="C94" s="3"/>
      </tp>
      <tp t="s">
        <v>#N/A N/A</v>
        <stp/>
        <stp>BDH|16400010144372907652</stp>
        <tr r="T24" s="4"/>
      </tp>
      <tp t="s">
        <v>#N/A N/A</v>
        <stp/>
        <stp>BDH|17556507729475034314</stp>
        <tr r="L22" s="2"/>
      </tp>
      <tp t="s">
        <v>#N/A N/A</v>
        <stp/>
        <stp>BDH|17373293274597437375</stp>
        <tr r="G70" s="3"/>
      </tp>
      <tp t="s">
        <v>#N/A N/A</v>
        <stp/>
        <stp>BDH|13000096818741447582</stp>
        <tr r="E11" s="2"/>
      </tp>
      <tp t="s">
        <v>#N/A N/A</v>
        <stp/>
        <stp>BDH|17847227270441025571</stp>
        <tr r="O86" s="3"/>
      </tp>
      <tp t="s">
        <v>#N/A N/A</v>
        <stp/>
        <stp>BDH|16922648171591043001</stp>
        <tr r="N66" s="3"/>
      </tp>
      <tp t="s">
        <v>#N/A N/A</v>
        <stp/>
        <stp>BDH|13956876516705789936</stp>
        <tr r="V15" s="2"/>
      </tp>
      <tp t="s">
        <v>#N/A N/A</v>
        <stp/>
        <stp>BDH|17737147075294935339</stp>
        <tr r="V58" s="3"/>
      </tp>
      <tp t="s">
        <v>#N/A N/A</v>
        <stp/>
        <stp>BDH|17917952385253609308</stp>
        <tr r="P11" s="3"/>
      </tp>
      <tp t="s">
        <v>#N/A N/A</v>
        <stp/>
        <stp>BDH|15733225652312899600</stp>
        <tr r="C54" s="4"/>
      </tp>
      <tp t="s">
        <v>#N/A N/A</v>
        <stp/>
        <stp>BDH|17578631066920745187</stp>
        <tr r="T39" s="3"/>
      </tp>
      <tp t="s">
        <v>#N/A N/A</v>
        <stp/>
        <stp>BDH|12683491360504979297</stp>
        <tr r="G15" s="2"/>
      </tp>
      <tp t="s">
        <v>#N/A N/A</v>
        <stp/>
        <stp>BDH|10589989184237179076</stp>
        <tr r="J16" s="2"/>
      </tp>
      <tp t="s">
        <v>#N/A N/A</v>
        <stp/>
        <stp>BDH|16455706040085257697</stp>
        <tr r="N15" s="2"/>
      </tp>
      <tp t="s">
        <v>#N/A N/A</v>
        <stp/>
        <stp>BDH|16616343548013745427</stp>
        <tr r="Q23" s="3"/>
      </tp>
      <tp t="s">
        <v>#N/A N/A</v>
        <stp/>
        <stp>BDH|18330889863771487135</stp>
        <tr r="Z27" s="2"/>
      </tp>
      <tp t="s">
        <v>#N/A N/A</v>
        <stp/>
        <stp>BDH|13685085752873729340</stp>
        <tr r="L14" s="4"/>
      </tp>
      <tp t="s">
        <v>#N/A N/A</v>
        <stp/>
        <stp>BDH|12435841098617142264</stp>
        <tr r="L12" s="4"/>
      </tp>
      <tp t="s">
        <v>#N/A N/A</v>
        <stp/>
        <stp>BDH|15980119348251606789</stp>
        <tr r="V24" s="2"/>
      </tp>
      <tp t="s">
        <v>#N/A N/A</v>
        <stp/>
        <stp>BDH|11052389868116902472</stp>
        <tr r="W14" s="2"/>
      </tp>
      <tp t="s">
        <v>#N/A N/A</v>
        <stp/>
        <stp>BDH|11351555849562506448</stp>
        <tr r="Z7" s="3"/>
      </tp>
      <tp t="s">
        <v>#N/A N/A</v>
        <stp/>
        <stp>BDH|15050653538865205313</stp>
        <tr r="U28" s="4"/>
      </tp>
      <tp t="s">
        <v>#N/A N/A</v>
        <stp/>
        <stp>BDH|17096675547167876468</stp>
        <tr r="S63" s="4"/>
      </tp>
      <tp t="s">
        <v>#N/A N/A</v>
        <stp/>
        <stp>BDH|14904436479061447095</stp>
        <tr r="J21" s="4"/>
      </tp>
      <tp t="s">
        <v>#N/A N/A</v>
        <stp/>
        <stp>BDH|16397118295669821110</stp>
        <tr r="G32" s="3"/>
      </tp>
      <tp t="s">
        <v>#N/A N/A</v>
        <stp/>
        <stp>BDH|13064380612302218560</stp>
        <tr r="H27" s="4"/>
      </tp>
      <tp t="s">
        <v>#N/A N/A</v>
        <stp/>
        <stp>BDH|15784857133920188914</stp>
        <tr r="C52" s="3"/>
      </tp>
      <tp t="s">
        <v>#N/A N/A</v>
        <stp/>
        <stp>BDH|17174548831013149545</stp>
        <tr r="E35" s="4"/>
      </tp>
      <tp t="s">
        <v>#N/A N/A</v>
        <stp/>
        <stp>BDH|12452084779207064548</stp>
        <tr r="P28" s="3"/>
      </tp>
      <tp t="s">
        <v>#N/A N/A</v>
        <stp/>
        <stp>BDH|12814811591590109486</stp>
        <tr r="J32" s="3"/>
      </tp>
      <tp t="s">
        <v>#N/A N/A</v>
        <stp/>
        <stp>BDH|14393431674807649736</stp>
        <tr r="N9" s="2"/>
      </tp>
      <tp t="s">
        <v>#N/A N/A</v>
        <stp/>
        <stp>BDH|13127814926609725705</stp>
        <tr r="Q32" s="3"/>
      </tp>
      <tp t="s">
        <v>#N/A N/A</v>
        <stp/>
        <stp>BDH|11948340647732329386</stp>
        <tr r="N26" s="3"/>
      </tp>
      <tp t="s">
        <v>#N/A N/A</v>
        <stp/>
        <stp>BDH|16444842394187746726</stp>
        <tr r="F63" s="2"/>
      </tp>
      <tp t="s">
        <v>#N/A N/A</v>
        <stp/>
        <stp>BDH|13945056429534017243</stp>
        <tr r="S23" s="2"/>
      </tp>
      <tp t="s">
        <v>#N/A N/A</v>
        <stp/>
        <stp>BDH|16632622776596394609</stp>
        <tr r="G26" s="4"/>
      </tp>
      <tp t="s">
        <v>#N/A N/A</v>
        <stp/>
        <stp>BDH|17704610906163821597</stp>
        <tr r="I58" s="3"/>
      </tp>
      <tp t="s">
        <v>#N/A N/A</v>
        <stp/>
        <stp>BDH|15570609857537141635</stp>
        <tr r="K69" s="2"/>
      </tp>
      <tp t="s">
        <v>#N/A N/A</v>
        <stp/>
        <stp>BDH|14828329113467876616</stp>
        <tr r="O28" s="2"/>
      </tp>
      <tp t="s">
        <v>#N/A N/A</v>
        <stp/>
        <stp>BDH|11081953880385419214</stp>
        <tr r="G35" s="4"/>
      </tp>
      <tp t="s">
        <v>#N/A N/A</v>
        <stp/>
        <stp>BDH|11992473041396730086</stp>
        <tr r="U63" s="4"/>
      </tp>
      <tp t="s">
        <v>#N/A N/A</v>
        <stp/>
        <stp>BDH|10681296661100781395</stp>
        <tr r="V34" s="4"/>
      </tp>
      <tp t="s">
        <v>#N/A N/A</v>
        <stp/>
        <stp>BDH|11437086638322615725</stp>
        <tr r="J45" s="2"/>
      </tp>
      <tp t="s">
        <v>#N/A N/A</v>
        <stp/>
        <stp>BDH|13101492201178118883</stp>
        <tr r="E41" s="2"/>
      </tp>
      <tp t="s">
        <v>#N/A N/A</v>
        <stp/>
        <stp>BDH|13375624316347648415</stp>
        <tr r="Z56" s="3"/>
      </tp>
      <tp t="s">
        <v>#N/A N/A</v>
        <stp/>
        <stp>BDH|15268724552159310929</stp>
        <tr r="D70" s="2"/>
      </tp>
      <tp t="s">
        <v>#N/A N/A</v>
        <stp/>
        <stp>BDH|15808327008243580247</stp>
        <tr r="U54" s="4"/>
      </tp>
      <tp t="s">
        <v>#N/A N/A</v>
        <stp/>
        <stp>BDH|17604789358105676735</stp>
        <tr r="P12" s="2"/>
      </tp>
      <tp t="s">
        <v>#N/A N/A</v>
        <stp/>
        <stp>BDH|10516103627804959086</stp>
        <tr r="P22" s="3"/>
      </tp>
      <tp t="s">
        <v>#N/A N/A</v>
        <stp/>
        <stp>BDH|10549075567990149174</stp>
        <tr r="J54" s="3"/>
      </tp>
      <tp t="s">
        <v>#N/A N/A</v>
        <stp/>
        <stp>BDH|16983724122505871126</stp>
        <tr r="C47" s="3"/>
      </tp>
      <tp t="s">
        <v>#N/A N/A</v>
        <stp/>
        <stp>BDH|11528470026924648417</stp>
        <tr r="C87" s="3"/>
      </tp>
      <tp t="s">
        <v>#N/A N/A</v>
        <stp/>
        <stp>BDH|18349388512119317493</stp>
        <tr r="R27" s="4"/>
      </tp>
      <tp t="s">
        <v>#N/A N/A</v>
        <stp/>
        <stp>BDH|14429243858351863537</stp>
        <tr r="T88" s="3"/>
      </tp>
      <tp t="s">
        <v>#N/A N/A</v>
        <stp/>
        <stp>BDH|18057414128169825022</stp>
        <tr r="M72" s="3"/>
      </tp>
      <tp t="s">
        <v>#N/A N/A</v>
        <stp/>
        <stp>BDH|12295858887875088031</stp>
        <tr r="Y59" s="4"/>
      </tp>
      <tp t="s">
        <v>#N/A N/A</v>
        <stp/>
        <stp>BDH|13724719430248078858</stp>
        <tr r="C25" s="4"/>
      </tp>
      <tp t="s">
        <v>#N/A N/A</v>
        <stp/>
        <stp>BDH|16796777676507287677</stp>
        <tr r="T30" s="2"/>
      </tp>
      <tp t="s">
        <v>#N/A N/A</v>
        <stp/>
        <stp>BDH|12061462904697270631</stp>
        <tr r="I34" s="2"/>
      </tp>
      <tp t="s">
        <v>#N/A N/A</v>
        <stp/>
        <stp>BDH|16966251394328324282</stp>
        <tr r="M91" s="3"/>
      </tp>
      <tp t="s">
        <v>#N/A N/A</v>
        <stp/>
        <stp>BDH|17673507372710197275</stp>
        <tr r="M34" s="2"/>
      </tp>
      <tp t="s">
        <v>#N/A N/A</v>
        <stp/>
        <stp>BDH|12312919136096688909</stp>
        <tr r="O55" s="3"/>
      </tp>
      <tp t="s">
        <v>#N/A N/A</v>
        <stp/>
        <stp>BDH|10040672292099067178</stp>
        <tr r="Z43" s="4"/>
      </tp>
      <tp t="s">
        <v>#N/A N/A</v>
        <stp/>
        <stp>BDH|18106218903224021917</stp>
        <tr r="K32" s="4"/>
      </tp>
      <tp t="s">
        <v>#N/A N/A</v>
        <stp/>
        <stp>BDH|16441052403910559154</stp>
        <tr r="L57" s="3"/>
      </tp>
      <tp t="s">
        <v>#N/A N/A</v>
        <stp/>
        <stp>BDH|17333274222506671629</stp>
        <tr r="S55" s="2"/>
      </tp>
      <tp t="s">
        <v>#N/A N/A</v>
        <stp/>
        <stp>BDH|16232575717691368430</stp>
        <tr r="K58" s="3"/>
      </tp>
      <tp t="s">
        <v>#N/A N/A</v>
        <stp/>
        <stp>BDH|10184303942185645578</stp>
        <tr r="J25" s="4"/>
      </tp>
      <tp t="s">
        <v>#N/A N/A</v>
        <stp/>
        <stp>BDH|11403694355320352594</stp>
        <tr r="T27" s="2"/>
      </tp>
      <tp t="s">
        <v>#N/A N/A</v>
        <stp/>
        <stp>BDH|14526098931665143592</stp>
        <tr r="J50" s="4"/>
      </tp>
      <tp t="s">
        <v>#N/A N/A</v>
        <stp/>
        <stp>BDH|14108493371167575798</stp>
        <tr r="N21" s="4"/>
      </tp>
      <tp t="s">
        <v>#N/A N/A</v>
        <stp/>
        <stp>BDH|11796330631830649668</stp>
        <tr r="R18" s="3"/>
      </tp>
      <tp t="s">
        <v>#N/A N/A</v>
        <stp/>
        <stp>BDH|16377071400174622579</stp>
        <tr r="X60" s="4"/>
      </tp>
      <tp t="s">
        <v>#N/A N/A</v>
        <stp/>
        <stp>BDH|16255375090693428847</stp>
        <tr r="E63" s="3"/>
      </tp>
      <tp t="s">
        <v>#N/A N/A</v>
        <stp/>
        <stp>BDH|13412535664535100272</stp>
        <tr r="F62" s="3"/>
      </tp>
      <tp t="s">
        <v>#N/A N/A</v>
        <stp/>
        <stp>BDH|10815142358794458753</stp>
        <tr r="L59" s="4"/>
      </tp>
      <tp t="s">
        <v>#N/A N/A</v>
        <stp/>
        <stp>BDH|10482600853851314510</stp>
        <tr r="M37" s="2"/>
      </tp>
      <tp t="s">
        <v>#N/A N/A</v>
        <stp/>
        <stp>BDH|14854957245839494792</stp>
        <tr r="I72" s="3"/>
      </tp>
      <tp t="s">
        <v>#N/A N/A</v>
        <stp/>
        <stp>BDH|16306385704736343491</stp>
        <tr r="I60" s="3"/>
      </tp>
      <tp t="s">
        <v>#N/A N/A</v>
        <stp/>
        <stp>BDH|12657392650864218788</stp>
        <tr r="H54" s="4"/>
      </tp>
      <tp t="s">
        <v>#N/A N/A</v>
        <stp/>
        <stp>BDH|11616987589005518271</stp>
        <tr r="E41" s="4"/>
      </tp>
      <tp t="s">
        <v>#N/A N/A</v>
        <stp/>
        <stp>BDH|18065568498867367484</stp>
        <tr r="I62" s="3"/>
      </tp>
      <tp t="s">
        <v>#N/A N/A</v>
        <stp/>
        <stp>BDH|10230152520093426778</stp>
        <tr r="N17" s="2"/>
      </tp>
      <tp t="s">
        <v>#N/A N/A</v>
        <stp/>
        <stp>BDH|13599024477822080147</stp>
        <tr r="E68" s="3"/>
      </tp>
      <tp t="s">
        <v>#N/A N/A</v>
        <stp/>
        <stp>BDH|14161351220007866589</stp>
        <tr r="D24" s="4"/>
      </tp>
      <tp t="s">
        <v>#N/A N/A</v>
        <stp/>
        <stp>BDH|16414449644688628963</stp>
        <tr r="L38" s="3"/>
      </tp>
      <tp t="s">
        <v>#N/A N/A</v>
        <stp/>
        <stp>BDH|11411267324997060124</stp>
        <tr r="S9" s="2"/>
      </tp>
      <tp t="s">
        <v>#N/A N/A</v>
        <stp/>
        <stp>BDH|12087000414275320135</stp>
        <tr r="H44" s="4"/>
      </tp>
      <tp t="s">
        <v>#N/A N/A</v>
        <stp/>
        <stp>BDH|13132809124858522647</stp>
        <tr r="Z89" s="3"/>
      </tp>
      <tp t="s">
        <v>#N/A N/A</v>
        <stp/>
        <stp>BDH|17109319822732537302</stp>
        <tr r="D59" s="4"/>
      </tp>
      <tp t="s">
        <v>#N/A N/A</v>
        <stp/>
        <stp>BDH|11185073733337146232</stp>
        <tr r="C60" s="4"/>
      </tp>
      <tp t="s">
        <v>#N/A N/A</v>
        <stp/>
        <stp>BDH|15397665749023900322</stp>
        <tr r="L59" s="3"/>
      </tp>
      <tp t="s">
        <v>#N/A N/A</v>
        <stp/>
        <stp>BDH|12879274517347797184</stp>
        <tr r="W13" s="4"/>
      </tp>
      <tp t="s">
        <v>#N/A N/A</v>
        <stp/>
        <stp>BDH|11804196850762725010</stp>
        <tr r="G20" s="2"/>
      </tp>
      <tp t="s">
        <v>#N/A N/A</v>
        <stp/>
        <stp>BDH|13584242746912811081</stp>
        <tr r="Y88" s="3"/>
      </tp>
      <tp t="s">
        <v>#N/A N/A</v>
        <stp/>
        <stp>BDH|16339400143603165262</stp>
        <tr r="Q35" s="4"/>
      </tp>
      <tp t="s">
        <v>#N/A N/A</v>
        <stp/>
        <stp>BDH|14678641816462204612</stp>
        <tr r="X62" s="4"/>
      </tp>
      <tp t="s">
        <v>#N/A N/A</v>
        <stp/>
        <stp>BDH|13452120932094629250</stp>
        <tr r="G37" s="2"/>
      </tp>
      <tp t="s">
        <v>#N/A N/A</v>
        <stp/>
        <stp>BDH|17205994499268577806</stp>
        <tr r="W67" s="3"/>
      </tp>
      <tp t="s">
        <v>#N/A N/A</v>
        <stp/>
        <stp>BDH|12789917036616190966</stp>
        <tr r="T26" s="3"/>
      </tp>
      <tp t="s">
        <v>#N/A N/A</v>
        <stp/>
        <stp>BDH|16265515861903682129</stp>
        <tr r="Y18" s="4"/>
      </tp>
      <tp t="s">
        <v>#N/A N/A</v>
        <stp/>
        <stp>BDH|17185481632475562280</stp>
        <tr r="Y67" s="3"/>
      </tp>
      <tp t="s">
        <v>#N/A N/A</v>
        <stp/>
        <stp>BDH|10001355610132286715</stp>
        <tr r="S70" s="3"/>
      </tp>
      <tp t="s">
        <v>#N/A N/A</v>
        <stp/>
        <stp>BDH|13800530164722171588</stp>
        <tr r="F12" s="3"/>
      </tp>
      <tp t="s">
        <v>#N/A N/A</v>
        <stp/>
        <stp>BDH|16918288262101633434</stp>
        <tr r="V65" s="2"/>
      </tp>
      <tp t="s">
        <v>#N/A N/A</v>
        <stp/>
        <stp>BDH|17575725310435399323</stp>
        <tr r="Q14" s="4"/>
      </tp>
      <tp t="s">
        <v>#N/A N/A</v>
        <stp/>
        <stp>BDH|18342922925527153334</stp>
        <tr r="Y91" s="3"/>
      </tp>
      <tp t="s">
        <v>#N/A N/A</v>
        <stp/>
        <stp>BDH|16940280419177917575</stp>
        <tr r="Z54" s="4"/>
      </tp>
      <tp t="s">
        <v>#N/A N/A</v>
        <stp/>
        <stp>BDH|11388908599893986555</stp>
        <tr r="T7" s="4"/>
      </tp>
      <tp t="s">
        <v>#N/A N/A</v>
        <stp/>
        <stp>BDH|15602657200225045155</stp>
        <tr r="F62" s="4"/>
      </tp>
      <tp t="s">
        <v>#N/A N/A</v>
        <stp/>
        <stp>BDH|15951247172777060068</stp>
        <tr r="R88" s="3"/>
      </tp>
      <tp t="s">
        <v>#N/A N/A</v>
        <stp/>
        <stp>BDH|13157010500973955701</stp>
        <tr r="J48" s="4"/>
      </tp>
      <tp t="s">
        <v>#N/A N/A</v>
        <stp/>
        <stp>BDH|11133240312383851668</stp>
        <tr r="E85" s="3"/>
      </tp>
      <tp t="s">
        <v>#N/A N/A</v>
        <stp/>
        <stp>BDH|10067299377703646111</stp>
        <tr r="L8" s="3"/>
      </tp>
      <tp t="s">
        <v>#N/A N/A</v>
        <stp/>
        <stp>BDH|13628340167168452980</stp>
        <tr r="Y66" s="4"/>
      </tp>
      <tp t="s">
        <v>#N/A N/A</v>
        <stp/>
        <stp>BDH|12115142008684326072</stp>
        <tr r="I13" s="3"/>
      </tp>
      <tp t="s">
        <v>#N/A N/A</v>
        <stp/>
        <stp>BDH|14430037639046765619</stp>
        <tr r="S31" s="3"/>
      </tp>
      <tp t="s">
        <v>#N/A N/A</v>
        <stp/>
        <stp>BDH|11150523644872862570</stp>
        <tr r="R18" s="2"/>
      </tp>
      <tp t="s">
        <v>#N/A N/A</v>
        <stp/>
        <stp>BDH|17446289746691713756</stp>
        <tr r="X49" s="2"/>
      </tp>
      <tp t="s">
        <v>#N/A N/A</v>
        <stp/>
        <stp>BDH|18152014289627500040</stp>
        <tr r="H7" s="2"/>
      </tp>
      <tp t="s">
        <v>#N/A N/A</v>
        <stp/>
        <stp>BDH|10341027868299470850</stp>
        <tr r="Y94" s="3"/>
      </tp>
      <tp t="s">
        <v>#N/A N/A</v>
        <stp/>
        <stp>BDH|15812082409363978182</stp>
        <tr r="F30" s="3"/>
      </tp>
      <tp t="s">
        <v>#N/A N/A</v>
        <stp/>
        <stp>BDH|16272167414622051386</stp>
        <tr r="G31" s="2"/>
      </tp>
      <tp t="s">
        <v>#N/A N/A</v>
        <stp/>
        <stp>BDH|16977331926858434809</stp>
        <tr r="G66" s="3"/>
      </tp>
      <tp t="s">
        <v>#N/A N/A</v>
        <stp/>
        <stp>BDH|16939744280387404910</stp>
        <tr r="X24" s="2"/>
      </tp>
      <tp t="s">
        <v>#N/A N/A</v>
        <stp/>
        <stp>BDH|18071990196657598810</stp>
        <tr r="T45" s="3"/>
      </tp>
      <tp t="s">
        <v>#N/A N/A</v>
        <stp/>
        <stp>BDH|14029316339960111323</stp>
        <tr r="V33" s="4"/>
      </tp>
      <tp t="s">
        <v>#N/A N/A</v>
        <stp/>
        <stp>BDH|17106683006130577616</stp>
        <tr r="D65" s="2"/>
      </tp>
      <tp t="s">
        <v>#N/A N/A</v>
        <stp/>
        <stp>BDH|15972326534180610221</stp>
        <tr r="R53" s="3"/>
      </tp>
      <tp t="s">
        <v>#N/A N/A</v>
        <stp/>
        <stp>BDH|18042860854964980601</stp>
        <tr r="S61" s="3"/>
      </tp>
      <tp t="s">
        <v>#N/A N/A</v>
        <stp/>
        <stp>BDH|15902036260474131005</stp>
        <tr r="Q23" s="4"/>
      </tp>
      <tp t="s">
        <v>#N/A N/A</v>
        <stp/>
        <stp>BDH|17054509718366727256</stp>
        <tr r="U8" s="4"/>
      </tp>
      <tp t="s">
        <v>#N/A N/A</v>
        <stp/>
        <stp>BDH|13340576519647396747</stp>
        <tr r="S75" s="3"/>
      </tp>
      <tp t="s">
        <v>#N/A N/A</v>
        <stp/>
        <stp>BDH|17283331715242760097</stp>
        <tr r="I41" s="3"/>
      </tp>
      <tp t="s">
        <v>#N/A N/A</v>
        <stp/>
        <stp>BDH|13490159454912675297</stp>
        <tr r="X13" s="3"/>
      </tp>
      <tp t="s">
        <v>#N/A N/A</v>
        <stp/>
        <stp>BDH|10348241522626868178</stp>
        <tr r="U6" s="2"/>
      </tp>
      <tp t="s">
        <v>#N/A N/A</v>
        <stp/>
        <stp>BDH|13934677017606005531</stp>
        <tr r="Z31" s="2"/>
      </tp>
      <tp t="s">
        <v>#N/A N/A</v>
        <stp/>
        <stp>BDH|13727390524956180311</stp>
        <tr r="Y32" s="2"/>
      </tp>
      <tp t="s">
        <v>#N/A N/A</v>
        <stp/>
        <stp>BDH|10037290562864192703</stp>
        <tr r="H43" s="4"/>
      </tp>
      <tp t="s">
        <v>#N/A N/A</v>
        <stp/>
        <stp>BDH|13982092346917434780</stp>
        <tr r="G37" s="4"/>
      </tp>
      <tp t="s">
        <v>#N/A N/A</v>
        <stp/>
        <stp>BDH|12460383801106265054</stp>
        <tr r="I32" s="3"/>
      </tp>
      <tp t="s">
        <v>#N/A N/A</v>
        <stp/>
        <stp>BDH|12223585396381202841</stp>
        <tr r="K54" s="3"/>
      </tp>
      <tp t="s">
        <v>#N/A N/A</v>
        <stp/>
        <stp>BDH|15170496218757924030</stp>
        <tr r="N91" s="3"/>
      </tp>
      <tp t="s">
        <v>#N/A N/A</v>
        <stp/>
        <stp>BDH|11612719509632569361</stp>
        <tr r="H26" s="2"/>
      </tp>
      <tp t="s">
        <v>#N/A N/A</v>
        <stp/>
        <stp>BDH|12201581735954743753</stp>
        <tr r="T48" s="3"/>
      </tp>
      <tp t="s">
        <v>#N/A N/A</v>
        <stp/>
        <stp>BDH|11328298146846250639</stp>
        <tr r="F13" s="4"/>
      </tp>
      <tp t="s">
        <v>#N/A N/A</v>
        <stp/>
        <stp>BDH|11478446774851176480</stp>
        <tr r="Z30" s="4"/>
      </tp>
      <tp t="s">
        <v>#N/A N/A</v>
        <stp/>
        <stp>BDH|16464673569137186662</stp>
        <tr r="C46" s="2"/>
      </tp>
      <tp t="s">
        <v>#N/A N/A</v>
        <stp/>
        <stp>BDH|14666186043011596758</stp>
        <tr r="L28" s="2"/>
      </tp>
      <tp t="s">
        <v>#N/A N/A</v>
        <stp/>
        <stp>BDH|13096299874768748972</stp>
        <tr r="U47" s="3"/>
      </tp>
      <tp t="s">
        <v>#N/A N/A</v>
        <stp/>
        <stp>BDH|13309424855417969206</stp>
        <tr r="I24" s="3"/>
      </tp>
      <tp t="s">
        <v>#N/A N/A</v>
        <stp/>
        <stp>BDH|16568591491965201829</stp>
        <tr r="V72" s="3"/>
      </tp>
      <tp t="s">
        <v>#N/A N/A</v>
        <stp/>
        <stp>BDH|14652097832530371036</stp>
        <tr r="Q13" s="4"/>
      </tp>
      <tp t="s">
        <v>#N/A N/A</v>
        <stp/>
        <stp>BDH|13173208454237844413</stp>
        <tr r="E74" s="3"/>
      </tp>
      <tp t="s">
        <v>#N/A N/A</v>
        <stp/>
        <stp>BDH|11442182040901931296</stp>
        <tr r="J37" s="4"/>
      </tp>
      <tp t="s">
        <v>#N/A N/A</v>
        <stp/>
        <stp>BDH|10991445360150726567</stp>
        <tr r="U19" s="3"/>
      </tp>
      <tp t="s">
        <v>#N/A N/A</v>
        <stp/>
        <stp>BDH|11143527129586089762</stp>
        <tr r="J88" s="3"/>
      </tp>
      <tp t="s">
        <v>#N/A N/A</v>
        <stp/>
        <stp>BDH|10962101721620438401</stp>
        <tr r="I92" s="3"/>
      </tp>
      <tp t="s">
        <v>#N/A N/A</v>
        <stp/>
        <stp>BDH|15903328532685491716</stp>
        <tr r="H63" s="3"/>
      </tp>
      <tp t="s">
        <v>#N/A N/A</v>
        <stp/>
        <stp>BDH|12131564275607939072</stp>
        <tr r="C13" s="3"/>
      </tp>
      <tp t="s">
        <v>#N/A N/A</v>
        <stp/>
        <stp>BDH|17327173522836291586</stp>
        <tr r="V47" s="3"/>
      </tp>
      <tp t="s">
        <v>#N/A N/A</v>
        <stp/>
        <stp>BDH|10772975504099938714</stp>
        <tr r="R55" s="3"/>
      </tp>
      <tp t="s">
        <v>#N/A N/A</v>
        <stp/>
        <stp>BDH|15759502919991788753</stp>
        <tr r="K25" s="2"/>
      </tp>
      <tp t="s">
        <v>#N/A N/A</v>
        <stp/>
        <stp>BDH|17351401754485824436</stp>
        <tr r="K23" s="3"/>
      </tp>
      <tp t="s">
        <v>#N/A N/A</v>
        <stp/>
        <stp>BDH|12443579165124836216</stp>
        <tr r="N14" s="2"/>
      </tp>
      <tp t="s">
        <v>#N/A N/A</v>
        <stp/>
        <stp>BDH|16854043204743794204</stp>
        <tr r="D68" s="2"/>
      </tp>
      <tp t="s">
        <v>#N/A N/A</v>
        <stp/>
        <stp>BDH|11821604416787476654</stp>
        <tr r="Z13" s="4"/>
      </tp>
      <tp t="s">
        <v>#N/A N/A</v>
        <stp/>
        <stp>BDH|17144050775161867662</stp>
        <tr r="L14" s="3"/>
      </tp>
      <tp t="s">
        <v>#N/A N/A</v>
        <stp/>
        <stp>BDH|11116824771689453091</stp>
        <tr r="D9" s="2"/>
      </tp>
      <tp t="s">
        <v>#N/A N/A</v>
        <stp/>
        <stp>BDH|12048022544152044396</stp>
        <tr r="U35" s="3"/>
      </tp>
      <tp t="s">
        <v>#N/A N/A</v>
        <stp/>
        <stp>BDH|14760336009671677144</stp>
        <tr r="W61" s="4"/>
      </tp>
      <tp t="s">
        <v>#N/A N/A</v>
        <stp/>
        <stp>BDH|10158109768339613917</stp>
        <tr r="W73" s="3"/>
      </tp>
      <tp t="s">
        <v>#N/A N/A</v>
        <stp/>
        <stp>BDH|11193053944521685388</stp>
        <tr r="P8" s="4"/>
      </tp>
      <tp t="s">
        <v>#N/A N/A</v>
        <stp/>
        <stp>BDH|14888926815608943382</stp>
        <tr r="V37" s="2"/>
      </tp>
      <tp t="s">
        <v>#N/A N/A</v>
        <stp/>
        <stp>BDH|15958173361852740769</stp>
        <tr r="U12" s="3"/>
      </tp>
      <tp t="s">
        <v>#N/A N/A</v>
        <stp/>
        <stp>BDH|16999165439044071788</stp>
        <tr r="O27" s="4"/>
      </tp>
      <tp t="s">
        <v>#N/A N/A</v>
        <stp/>
        <stp>BDH|18041250183624068187</stp>
        <tr r="J38" s="3"/>
      </tp>
      <tp t="s">
        <v>#N/A N/A</v>
        <stp/>
        <stp>BDH|14957125031928380973</stp>
        <tr r="F39" s="2"/>
      </tp>
      <tp t="s">
        <v>#N/A N/A</v>
        <stp/>
        <stp>BDH|17455333428452882398</stp>
        <tr r="Q65" s="2"/>
      </tp>
      <tp t="s">
        <v>#N/A N/A</v>
        <stp/>
        <stp>BDH|17398083256526267319</stp>
        <tr r="U35" s="2"/>
        <tr r="U47" s="2"/>
      </tp>
      <tp t="s">
        <v>#N/A N/A</v>
        <stp/>
        <stp>BDH|12237772355162927577</stp>
        <tr r="V93" s="3"/>
      </tp>
      <tp t="s">
        <v>#N/A N/A</v>
        <stp/>
        <stp>BDH|16969165563412482794</stp>
        <tr r="P30" s="3"/>
      </tp>
      <tp t="s">
        <v>#N/A N/A</v>
        <stp/>
        <stp>BDH|12872438892362832905</stp>
        <tr r="T22" s="4"/>
      </tp>
      <tp t="s">
        <v>#N/A N/A</v>
        <stp/>
        <stp>BDH|11701477571827438145</stp>
        <tr r="Z69" s="2"/>
      </tp>
      <tp t="s">
        <v>#N/A N/A</v>
        <stp/>
        <stp>BDH|13389632322943793045</stp>
        <tr r="P8" s="2"/>
      </tp>
      <tp t="s">
        <v>#N/A N/A</v>
        <stp/>
        <stp>BDH|18300826602515452169</stp>
        <tr r="X9" s="2"/>
      </tp>
      <tp t="s">
        <v>#N/A N/A</v>
        <stp/>
        <stp>BDH|14184372809415709690</stp>
        <tr r="C44" s="3"/>
      </tp>
      <tp t="s">
        <v>#N/A N/A</v>
        <stp/>
        <stp>BDH|14950002119312933384</stp>
        <tr r="E77" s="3"/>
      </tp>
      <tp t="s">
        <v>#N/A N/A</v>
        <stp/>
        <stp>BDH|12058612714248667921</stp>
        <tr r="S89" s="3"/>
      </tp>
      <tp t="s">
        <v>#N/A N/A</v>
        <stp/>
        <stp>BDH|13419847563628241105</stp>
        <tr r="Q62" s="4"/>
      </tp>
      <tp t="s">
        <v>#N/A N/A</v>
        <stp/>
        <stp>BDH|14335326474077374373</stp>
        <tr r="P68" s="3"/>
      </tp>
      <tp t="s">
        <v>#N/A N/A</v>
        <stp/>
        <stp>BDH|14737147285390133964</stp>
        <tr r="W58" s="3"/>
      </tp>
      <tp t="s">
        <v>#N/A N/A</v>
        <stp/>
        <stp>BDH|13452608663203796412</stp>
        <tr r="Y7" s="4"/>
      </tp>
      <tp t="s">
        <v>#N/A N/A</v>
        <stp/>
        <stp>BDH|16762547826484076158</stp>
        <tr r="Y45" s="4"/>
      </tp>
      <tp t="s">
        <v>#N/A N/A</v>
        <stp/>
        <stp>BDH|14237433045808330871</stp>
        <tr r="S68" s="2"/>
      </tp>
      <tp t="s">
        <v>#N/A N/A</v>
        <stp/>
        <stp>BDH|11249746655870255716</stp>
        <tr r="J49" s="3"/>
      </tp>
      <tp t="s">
        <v>#N/A N/A</v>
        <stp/>
        <stp>BDH|10341194840516346798</stp>
        <tr r="K18" s="3"/>
      </tp>
      <tp t="s">
        <v>#N/A N/A</v>
        <stp/>
        <stp>BDH|14171198820726904510</stp>
        <tr r="N35" s="3"/>
      </tp>
      <tp t="s">
        <v>#N/A N/A</v>
        <stp/>
        <stp>BDH|12445051735004488102</stp>
        <tr r="O6" s="2"/>
      </tp>
      <tp t="s">
        <v>#N/A N/A</v>
        <stp/>
        <stp>BDH|12543774924801054263</stp>
        <tr r="X34" s="2"/>
      </tp>
      <tp t="s">
        <v>#N/A N/A</v>
        <stp/>
        <stp>BDH|16613538652994365648</stp>
        <tr r="J62" s="3"/>
      </tp>
      <tp t="s">
        <v>#N/A N/A</v>
        <stp/>
        <stp>BDH|18169862732051128648</stp>
        <tr r="C29" s="2"/>
      </tp>
      <tp t="s">
        <v>#N/A N/A</v>
        <stp/>
        <stp>BDH|18202646734450379916</stp>
        <tr r="T63" s="3"/>
      </tp>
      <tp t="s">
        <v>#N/A N/A</v>
        <stp/>
        <stp>BDH|10634001946023364337</stp>
        <tr r="W21" s="2"/>
      </tp>
      <tp t="s">
        <v>#N/A N/A</v>
        <stp/>
        <stp>BDH|17513686343557716690</stp>
        <tr r="F60" s="3"/>
      </tp>
      <tp t="s">
        <v>#N/A N/A</v>
        <stp/>
        <stp>BDH|17508573721043666754</stp>
        <tr r="K21" s="3"/>
      </tp>
      <tp t="s">
        <v>#N/A N/A</v>
        <stp/>
        <stp>BDH|15664064825586140545</stp>
        <tr r="Y16" s="2"/>
      </tp>
      <tp t="s">
        <v>#N/A N/A</v>
        <stp/>
        <stp>BDH|14526819987506241623</stp>
        <tr r="Q94" s="3"/>
      </tp>
      <tp t="s">
        <v>#N/A N/A</v>
        <stp/>
        <stp>BDH|12744204636940373713</stp>
        <tr r="J43" s="2"/>
      </tp>
      <tp t="s">
        <v>#N/A N/A</v>
        <stp/>
        <stp>BDH|17308607335831141747</stp>
        <tr r="I61" s="4"/>
      </tp>
      <tp t="s">
        <v>#N/A N/A</v>
        <stp/>
        <stp>BDH|13309556764395203139</stp>
        <tr r="U29" s="3"/>
      </tp>
      <tp t="s">
        <v>#N/A N/A</v>
        <stp/>
        <stp>BDH|16874184891139525370</stp>
        <tr r="J64" s="3"/>
      </tp>
      <tp t="s">
        <v>#N/A N/A</v>
        <stp/>
        <stp>BDH|14674334609692843174</stp>
        <tr r="C58" s="4"/>
      </tp>
      <tp t="s">
        <v>#N/A N/A</v>
        <stp/>
        <stp>BDH|12659195163053644290</stp>
        <tr r="N52" s="4"/>
      </tp>
      <tp t="s">
        <v>#N/A N/A</v>
        <stp/>
        <stp>BDH|15418197143830923456</stp>
        <tr r="M59" s="3"/>
      </tp>
      <tp t="s">
        <v>#N/A N/A</v>
        <stp/>
        <stp>BDH|17889218318323286312</stp>
        <tr r="T47" s="4"/>
      </tp>
      <tp t="s">
        <v>#N/A N/A</v>
        <stp/>
        <stp>BDH|17100462670420271078</stp>
        <tr r="E45" s="2"/>
      </tp>
      <tp t="s">
        <v>#N/A N/A</v>
        <stp/>
        <stp>BDH|14858782912290019609</stp>
        <tr r="O54" s="2"/>
      </tp>
      <tp t="s">
        <v>#N/A N/A</v>
        <stp/>
        <stp>BDH|12745927860709033077</stp>
        <tr r="O13" s="2"/>
      </tp>
      <tp t="s">
        <v>#N/A N/A</v>
        <stp/>
        <stp>BDH|17688754864817315565</stp>
        <tr r="Z46" s="4"/>
      </tp>
      <tp t="s">
        <v>#N/A N/A</v>
        <stp/>
        <stp>BDH|16300138870654410069</stp>
        <tr r="U46" s="3"/>
      </tp>
      <tp t="s">
        <v>#N/A N/A</v>
        <stp/>
        <stp>BDH|17419577081157167917</stp>
        <tr r="W32" s="3"/>
      </tp>
      <tp t="s">
        <v>#N/A N/A</v>
        <stp/>
        <stp>BDH|13422626904403115215</stp>
        <tr r="G52" s="2"/>
      </tp>
      <tp t="s">
        <v>#N/A N/A</v>
        <stp/>
        <stp>BDH|17233978797951508256</stp>
        <tr r="I29" s="4"/>
      </tp>
      <tp t="s">
        <v>#N/A N/A</v>
        <stp/>
        <stp>BDH|16610947094145711732</stp>
        <tr r="S44" s="4"/>
      </tp>
      <tp t="s">
        <v>#N/A N/A</v>
        <stp/>
        <stp>BDH|18350028143818602061</stp>
        <tr r="O65" s="3"/>
      </tp>
      <tp t="s">
        <v>#N/A N/A</v>
        <stp/>
        <stp>BDH|17025260244126718309</stp>
        <tr r="C93" s="3"/>
      </tp>
      <tp t="s">
        <v>#N/A N/A</v>
        <stp/>
        <stp>BDH|16291404951531539230</stp>
        <tr r="U32" s="2"/>
      </tp>
      <tp t="s">
        <v>#N/A N/A</v>
        <stp/>
        <stp>BDH|11303658229915226482</stp>
        <tr r="W90" s="3"/>
      </tp>
      <tp t="s">
        <v>#N/A N/A</v>
        <stp/>
        <stp>BDH|10422369722896337360</stp>
        <tr r="F26" s="4"/>
      </tp>
      <tp t="s">
        <v>#N/A N/A</v>
        <stp/>
        <stp>BDH|18160340181664247331</stp>
        <tr r="G65" s="3"/>
      </tp>
      <tp t="s">
        <v>#N/A N/A</v>
        <stp/>
        <stp>BDH|16809459428886679262</stp>
        <tr r="P33" s="4"/>
      </tp>
      <tp t="s">
        <v>#N/A N/A</v>
        <stp/>
        <stp>BDH|13828814395701090783</stp>
        <tr r="L51" s="3"/>
      </tp>
      <tp t="s">
        <v>#N/A N/A</v>
        <stp/>
        <stp>BDH|12679755008420978169</stp>
        <tr r="G36" s="4"/>
      </tp>
      <tp t="s">
        <v>#N/A N/A</v>
        <stp/>
        <stp>BDH|17784485613910191692</stp>
        <tr r="Q64" s="3"/>
      </tp>
      <tp t="s">
        <v>#N/A N/A</v>
        <stp/>
        <stp>BDH|16869279440300350484</stp>
        <tr r="Q26" s="3"/>
      </tp>
      <tp t="s">
        <v>#N/A N/A</v>
        <stp/>
        <stp>BDH|12427774149634697184</stp>
        <tr r="C42" s="2"/>
      </tp>
      <tp t="s">
        <v>#N/A N/A</v>
        <stp/>
        <stp>BDH|15415879892156619634</stp>
        <tr r="O56" s="2"/>
      </tp>
      <tp t="s">
        <v>#N/A N/A</v>
        <stp/>
        <stp>BDH|15284600914830421661</stp>
        <tr r="K39" s="3"/>
      </tp>
      <tp t="s">
        <v>#N/A N/A</v>
        <stp/>
        <stp>BDH|16141454316367287048</stp>
        <tr r="N56" s="2"/>
      </tp>
      <tp t="s">
        <v>#N/A N/A</v>
        <stp/>
        <stp>BDH|15319373343784434272</stp>
        <tr r="F10" s="4"/>
      </tp>
      <tp t="s">
        <v>#N/A N/A</v>
        <stp/>
        <stp>BDH|12077934988915437280</stp>
        <tr r="Q18" s="4"/>
      </tp>
      <tp t="s">
        <v>#N/A N/A</v>
        <stp/>
        <stp>BDH|16684462560377433733</stp>
        <tr r="T35" s="4"/>
      </tp>
      <tp t="s">
        <v>#N/A N/A</v>
        <stp/>
        <stp>BDH|12356014514175406258</stp>
        <tr r="D8" s="4"/>
      </tp>
      <tp t="s">
        <v>#N/A N/A</v>
        <stp/>
        <stp>BDH|11488289436231594585</stp>
        <tr r="Z45" s="2"/>
      </tp>
      <tp t="s">
        <v>#N/A N/A</v>
        <stp/>
        <stp>BDH|12476571337557706742</stp>
        <tr r="W66" s="2"/>
      </tp>
      <tp t="s">
        <v>#N/A N/A</v>
        <stp/>
        <stp>BDH|12932306718384469027</stp>
        <tr r="U54" s="3"/>
      </tp>
      <tp t="s">
        <v>#N/A N/A</v>
        <stp/>
        <stp>BDH|16472781716157410393</stp>
        <tr r="K77" s="3"/>
      </tp>
      <tp t="s">
        <v>#N/A N/A</v>
        <stp/>
        <stp>BDH|11122279860325564455</stp>
        <tr r="R46" s="2"/>
      </tp>
      <tp t="s">
        <v>#N/A N/A</v>
        <stp/>
        <stp>BDH|12519739845633465612</stp>
        <tr r="X25" s="2"/>
      </tp>
      <tp t="s">
        <v>#N/A N/A</v>
        <stp/>
        <stp>BDH|15081697745741978236</stp>
        <tr r="W63" s="4"/>
      </tp>
      <tp t="s">
        <v>#N/A N/A</v>
        <stp/>
        <stp>BDH|14680999679987764976</stp>
        <tr r="N78" s="3"/>
      </tp>
      <tp t="s">
        <v>#N/A N/A</v>
        <stp/>
        <stp>BDH|11599368071200540118</stp>
        <tr r="F9" s="4"/>
      </tp>
      <tp t="s">
        <v>#N/A N/A</v>
        <stp/>
        <stp>BDH|11343408344436116306</stp>
        <tr r="W62" s="4"/>
      </tp>
      <tp t="s">
        <v>#N/A N/A</v>
        <stp/>
        <stp>BDH|11941289983857589810</stp>
        <tr r="I82" s="3"/>
      </tp>
      <tp t="s">
        <v>#N/A N/A</v>
        <stp/>
        <stp>BDH|12109534498843871947</stp>
        <tr r="N13" s="3"/>
      </tp>
      <tp t="s">
        <v>#N/A N/A</v>
        <stp/>
        <stp>BDH|11133749603656282428</stp>
        <tr r="X35" s="4"/>
      </tp>
      <tp t="s">
        <v>#N/A N/A</v>
        <stp/>
        <stp>BDH|15361511127123412576</stp>
        <tr r="R65" s="3"/>
      </tp>
      <tp t="s">
        <v>#N/A N/A</v>
        <stp/>
        <stp>BDH|18099614476909645477</stp>
        <tr r="T65" s="3"/>
      </tp>
      <tp t="s">
        <v>#N/A N/A</v>
        <stp/>
        <stp>BDH|10050502845800087531</stp>
        <tr r="Q50" s="2"/>
      </tp>
      <tp t="s">
        <v>#N/A N/A</v>
        <stp/>
        <stp>BDH|15615949843568088473</stp>
        <tr r="U71" s="2"/>
      </tp>
      <tp t="s">
        <v>#N/A N/A</v>
        <stp/>
        <stp>BDH|11953464300828082995</stp>
        <tr r="U17" s="4"/>
      </tp>
      <tp t="s">
        <v>#N/A N/A</v>
        <stp/>
        <stp>BDH|14890881691260942114</stp>
        <tr r="R65" s="4"/>
      </tp>
      <tp t="s">
        <v>#N/A N/A</v>
        <stp/>
        <stp>BDH|14425096579426875158</stp>
        <tr r="M49" s="2"/>
      </tp>
      <tp t="s">
        <v>#N/A N/A</v>
        <stp/>
        <stp>BDH|14419581606236373307</stp>
        <tr r="T13" s="3"/>
      </tp>
      <tp t="s">
        <v>#N/A N/A</v>
        <stp/>
        <stp>BDH|13484005462932712387</stp>
        <tr r="Z18" s="3"/>
      </tp>
      <tp t="s">
        <v>#N/A N/A</v>
        <stp/>
        <stp>BDH|10166226658376371510</stp>
        <tr r="F59" s="3"/>
      </tp>
      <tp t="s">
        <v>#N/A N/A</v>
        <stp/>
        <stp>BDH|14448774476087887752</stp>
        <tr r="K23" s="4"/>
      </tp>
      <tp t="s">
        <v>#N/A N/A</v>
        <stp/>
        <stp>BDH|17937424495836646802</stp>
        <tr r="K64" s="3"/>
      </tp>
      <tp t="s">
        <v>#N/A N/A</v>
        <stp/>
        <stp>BDH|15890970467529269729</stp>
        <tr r="L45" s="4"/>
      </tp>
      <tp t="s">
        <v>#N/A N/A</v>
        <stp/>
        <stp>BDH|14230246779474510121</stp>
        <tr r="S7" s="3"/>
      </tp>
      <tp t="s">
        <v>#N/A N/A</v>
        <stp/>
        <stp>BDH|13121616107753674294</stp>
        <tr r="W30" s="3"/>
      </tp>
      <tp t="s">
        <v>#N/A N/A</v>
        <stp/>
        <stp>BDH|17816256967586776153</stp>
        <tr r="J23" s="4"/>
      </tp>
      <tp t="s">
        <v>#N/A N/A</v>
        <stp/>
        <stp>BDH|12176202422687843132</stp>
        <tr r="T66" s="2"/>
      </tp>
      <tp t="s">
        <v>#N/A N/A</v>
        <stp/>
        <stp>BDH|14743005555706098394</stp>
        <tr r="G30" s="3"/>
      </tp>
      <tp t="s">
        <v>#N/A N/A</v>
        <stp/>
        <stp>BDH|17868033727102749309</stp>
        <tr r="D42" s="4"/>
      </tp>
      <tp t="s">
        <v>#N/A N/A</v>
        <stp/>
        <stp>BDH|13603894431798652439</stp>
        <tr r="R52" s="4"/>
      </tp>
      <tp t="s">
        <v>#N/A N/A</v>
        <stp/>
        <stp>BDH|16556638315020906512</stp>
        <tr r="K64" s="4"/>
      </tp>
      <tp t="s">
        <v>#N/A N/A</v>
        <stp/>
        <stp>BDH|13664481426875117420</stp>
        <tr r="I71" s="3"/>
      </tp>
      <tp t="s">
        <v>#N/A N/A</v>
        <stp/>
        <stp>BDH|11683372809837147120</stp>
        <tr r="R64" s="2"/>
      </tp>
      <tp t="s">
        <v>#N/A N/A</v>
        <stp/>
        <stp>BDH|13926415055357301152</stp>
        <tr r="Z42" s="3"/>
      </tp>
      <tp t="s">
        <v>#N/A N/A</v>
        <stp/>
        <stp>BDH|16915837227899790113</stp>
        <tr r="S53" s="3"/>
      </tp>
      <tp t="s">
        <v>#N/A N/A</v>
        <stp/>
        <stp>BDH|17312561949166404435</stp>
        <tr r="X74" s="3"/>
      </tp>
      <tp t="s">
        <v>#N/A N/A</v>
        <stp/>
        <stp>BDH|18133695970774100938</stp>
        <tr r="V73" s="3"/>
      </tp>
      <tp t="s">
        <v>#N/A N/A</v>
        <stp/>
        <stp>BDH|15146450266896014584</stp>
        <tr r="D87" s="3"/>
      </tp>
      <tp t="s">
        <v>#N/A N/A</v>
        <stp/>
        <stp>BDH|10034476408370782021</stp>
        <tr r="M43" s="3"/>
      </tp>
      <tp t="s">
        <v>#N/A N/A</v>
        <stp/>
        <stp>BDH|10622026962256919459</stp>
        <tr r="D21" s="3"/>
      </tp>
      <tp t="s">
        <v>#N/A N/A</v>
        <stp/>
        <stp>BDH|14682126381141813873</stp>
        <tr r="J66" s="2"/>
      </tp>
      <tp t="s">
        <v>#N/A N/A</v>
        <stp/>
        <stp>BDH|13328718208128883880</stp>
        <tr r="W69" s="2"/>
      </tp>
      <tp t="s">
        <v>#N/A N/A</v>
        <stp/>
        <stp>BDH|15913606050797711540</stp>
        <tr r="J24" s="4"/>
      </tp>
      <tp t="s">
        <v>#N/A N/A</v>
        <stp/>
        <stp>BDH|15090827067896727983</stp>
        <tr r="H55" s="2"/>
      </tp>
      <tp t="s">
        <v>#N/A N/A</v>
        <stp/>
        <stp>BDH|16847312340604128126</stp>
        <tr r="F13" s="3"/>
      </tp>
      <tp t="s">
        <v>#N/A N/A</v>
        <stp/>
        <stp>BDH|18199035492751889458</stp>
        <tr r="P48" s="4"/>
      </tp>
      <tp t="s">
        <v>#N/A N/A</v>
        <stp/>
        <stp>BDH|18224631253189993669</stp>
        <tr r="O28" s="4"/>
      </tp>
      <tp t="s">
        <v>#N/A N/A</v>
        <stp/>
        <stp>BDH|14257750259191051330</stp>
        <tr r="O32" s="4"/>
      </tp>
      <tp t="s">
        <v>#N/A N/A</v>
        <stp/>
        <stp>BDH|16166871364058621493</stp>
        <tr r="I17" s="2"/>
      </tp>
      <tp t="s">
        <v>#N/A N/A</v>
        <stp/>
        <stp>BDH|15481755731492812741</stp>
        <tr r="S28" s="4"/>
      </tp>
      <tp t="s">
        <v>#N/A N/A</v>
        <stp/>
        <stp>BDH|18036499593150121176</stp>
        <tr r="G17" s="4"/>
      </tp>
      <tp t="s">
        <v>#N/A N/A</v>
        <stp/>
        <stp>BDH|16485541068216765732</stp>
        <tr r="Y11" s="2"/>
      </tp>
      <tp t="s">
        <v>#N/A N/A</v>
        <stp/>
        <stp>BDH|11007120268483483122</stp>
        <tr r="O67" s="2"/>
      </tp>
      <tp t="s">
        <v>#N/A N/A</v>
        <stp/>
        <stp>BDH|12252785671161032771</stp>
        <tr r="H31" s="3"/>
      </tp>
      <tp t="s">
        <v>#N/A N/A</v>
        <stp/>
        <stp>BDH|16976430412434256364</stp>
        <tr r="U21" s="2"/>
      </tp>
      <tp t="s">
        <v>#N/A N/A</v>
        <stp/>
        <stp>BDH|14337297441391103767</stp>
        <tr r="C49" s="4"/>
      </tp>
      <tp t="s">
        <v>#N/A N/A</v>
        <stp/>
        <stp>BDH|10862315282057074872</stp>
        <tr r="R47" s="3"/>
      </tp>
      <tp t="s">
        <v>#N/A N/A</v>
        <stp/>
        <stp>BDH|10502041428336357061</stp>
        <tr r="O21" s="4"/>
      </tp>
      <tp t="s">
        <v>#N/A N/A</v>
        <stp/>
        <stp>BDH|17157147699922990997</stp>
        <tr r="X37" s="2"/>
      </tp>
      <tp t="s">
        <v>#N/A N/A</v>
        <stp/>
        <stp>BDH|16141420270131775086</stp>
        <tr r="Q71" s="2"/>
      </tp>
      <tp t="s">
        <v>#N/A N/A</v>
        <stp/>
        <stp>BDH|11075130846446997635</stp>
        <tr r="J45" s="3"/>
      </tp>
      <tp t="s">
        <v>#N/A N/A</v>
        <stp/>
        <stp>BDH|15003429813350878463</stp>
        <tr r="D13" s="3"/>
      </tp>
      <tp t="s">
        <v>#N/A N/A</v>
        <stp/>
        <stp>BDH|17676633929314034338</stp>
        <tr r="Z43" s="2"/>
      </tp>
      <tp t="s">
        <v>#N/A N/A</v>
        <stp/>
        <stp>BDH|14799258422176921660</stp>
        <tr r="K32" s="2"/>
      </tp>
      <tp t="s">
        <v>#N/A N/A</v>
        <stp/>
        <stp>BDH|11824115543882371269</stp>
        <tr r="E42" s="3"/>
      </tp>
      <tp t="s">
        <v>#N/A N/A</v>
        <stp/>
        <stp>BDH|12596792822836555547</stp>
        <tr r="X63" s="3"/>
      </tp>
      <tp t="s">
        <v>#N/A N/A</v>
        <stp/>
        <stp>BDH|16411076049440605634</stp>
        <tr r="E42" s="2"/>
      </tp>
      <tp t="s">
        <v>#N/A N/A</v>
        <stp/>
        <stp>BDH|17757837810968970229</stp>
        <tr r="M13" s="4"/>
      </tp>
      <tp t="s">
        <v>#N/A N/A</v>
        <stp/>
        <stp>BDH|16517751837417092189</stp>
        <tr r="X12" s="2"/>
      </tp>
      <tp t="s">
        <v>#N/A N/A</v>
        <stp/>
        <stp>BDH|12922678114246034743</stp>
        <tr r="N59" s="4"/>
      </tp>
      <tp t="s">
        <v>#N/A N/A</v>
        <stp/>
        <stp>BDH|10793204748251846396</stp>
        <tr r="S76" s="3"/>
      </tp>
      <tp t="s">
        <v>#N/A N/A</v>
        <stp/>
        <stp>BDH|11509045620746957165</stp>
        <tr r="H42" s="4"/>
      </tp>
      <tp t="s">
        <v>#N/A N/A</v>
        <stp/>
        <stp>BDH|10356621701386815467</stp>
        <tr r="Y28" s="4"/>
      </tp>
      <tp t="s">
        <v>#N/A N/A</v>
        <stp/>
        <stp>BDH|16041201169101703705</stp>
        <tr r="Q54" s="4"/>
      </tp>
      <tp t="s">
        <v>#N/A N/A</v>
        <stp/>
        <stp>BDH|15556742044573270195</stp>
        <tr r="M56" s="2"/>
      </tp>
      <tp t="s">
        <v>#N/A N/A</v>
        <stp/>
        <stp>BDH|14694909580117829606</stp>
        <tr r="P7" s="3"/>
      </tp>
      <tp t="s">
        <v>#N/A N/A</v>
        <stp/>
        <stp>BDH|14938458911276906253</stp>
        <tr r="T45" s="4"/>
      </tp>
      <tp t="s">
        <v>#N/A N/A</v>
        <stp/>
        <stp>BDH|13992053227582848623</stp>
        <tr r="U77" s="3"/>
      </tp>
      <tp t="s">
        <v>#N/A N/A</v>
        <stp/>
        <stp>BDH|14038606000414590347</stp>
        <tr r="E9" s="4"/>
      </tp>
      <tp t="s">
        <v>#N/A N/A</v>
        <stp/>
        <stp>BDH|10471027574404315609</stp>
        <tr r="U68" s="3"/>
      </tp>
      <tp t="s">
        <v>#N/A N/A</v>
        <stp/>
        <stp>BDH|11311476297288333117</stp>
        <tr r="M63" s="2"/>
      </tp>
      <tp t="s">
        <v>#N/A N/A</v>
        <stp/>
        <stp>BDH|12474073445106498539</stp>
        <tr r="V86" s="3"/>
      </tp>
      <tp t="s">
        <v>#N/A N/A</v>
        <stp/>
        <stp>BDH|12515029811314693216</stp>
        <tr r="C40" s="4"/>
      </tp>
      <tp t="s">
        <v>#N/A N/A</v>
        <stp/>
        <stp>BDH|13929047519857117053</stp>
        <tr r="E16" s="4"/>
      </tp>
      <tp t="s">
        <v>#N/A N/A</v>
        <stp/>
        <stp>BDH|16212960811502507905</stp>
        <tr r="C7" s="4"/>
      </tp>
      <tp t="s">
        <v>#N/A N/A</v>
        <stp/>
        <stp>BDH|12394038401741277634</stp>
        <tr r="Y13" s="2"/>
      </tp>
      <tp t="s">
        <v>#N/A N/A</v>
        <stp/>
        <stp>BDH|15661586753677795790</stp>
        <tr r="N45" s="4"/>
      </tp>
      <tp t="s">
        <v>#N/A N/A</v>
        <stp/>
        <stp>BDH|17497347613195749574</stp>
        <tr r="T51" s="2"/>
      </tp>
      <tp t="s">
        <v>#N/A N/A</v>
        <stp/>
        <stp>BDH|12936558555625277284</stp>
        <tr r="J15" s="2"/>
      </tp>
      <tp t="s">
        <v>#N/A N/A</v>
        <stp/>
        <stp>BDH|18322853624225231233</stp>
        <tr r="K11" s="3"/>
      </tp>
      <tp t="s">
        <v>#N/A N/A</v>
        <stp/>
        <stp>BDH|10609093072540958273</stp>
        <tr r="U51" s="2"/>
      </tp>
      <tp t="s">
        <v>#N/A N/A</v>
        <stp/>
        <stp>BDH|10187758879697680289</stp>
        <tr r="Q15" s="4"/>
      </tp>
      <tp t="s">
        <v>#N/A N/A</v>
        <stp/>
        <stp>BDH|12414476730416614666</stp>
        <tr r="G66" s="2"/>
      </tp>
      <tp t="s">
        <v>#N/A N/A</v>
        <stp/>
        <stp>BDH|11195323271098419840</stp>
        <tr r="L74" s="3"/>
      </tp>
      <tp t="s">
        <v>#N/A N/A</v>
        <stp/>
        <stp>BDH|12274418169556178394</stp>
        <tr r="L56" s="2"/>
      </tp>
      <tp t="s">
        <v>#N/A N/A</v>
        <stp/>
        <stp>BDH|12147124370867929685</stp>
        <tr r="W64" s="4"/>
      </tp>
      <tp t="s">
        <v>#N/A N/A</v>
        <stp/>
        <stp>BDH|15303322099598395290</stp>
        <tr r="F17" s="4"/>
      </tp>
      <tp t="s">
        <v>#N/A N/A</v>
        <stp/>
        <stp>BDH|18260059195190091405</stp>
        <tr r="W30" s="4"/>
      </tp>
      <tp t="s">
        <v>#N/A N/A</v>
        <stp/>
        <stp>BDH|18143422991403821381</stp>
        <tr r="G51" s="2"/>
      </tp>
      <tp t="s">
        <v>#N/A N/A</v>
        <stp/>
        <stp>BDH|15974050109427767705</stp>
        <tr r="N16" s="4"/>
      </tp>
      <tp t="s">
        <v>#N/A N/A</v>
        <stp/>
        <stp>BDH|15805263918762146157</stp>
        <tr r="Q30" s="2"/>
      </tp>
      <tp t="s">
        <v>#N/A N/A</v>
        <stp/>
        <stp>BDH|10083215843854171717</stp>
        <tr r="Y72" s="2"/>
      </tp>
      <tp t="s">
        <v>#N/A N/A</v>
        <stp/>
        <stp>BDH|16976266145252818779</stp>
        <tr r="C38" s="3"/>
      </tp>
      <tp t="s">
        <v>#N/A N/A</v>
        <stp/>
        <stp>BDH|15233843885175782513</stp>
        <tr r="W28" s="4"/>
      </tp>
      <tp t="s">
        <v>#N/A N/A</v>
        <stp/>
        <stp>BDH|14047099866896986137</stp>
        <tr r="M32" s="3"/>
      </tp>
      <tp t="s">
        <v>#N/A N/A</v>
        <stp/>
        <stp>BDH|10030663431157564779</stp>
        <tr r="U29" s="2"/>
      </tp>
      <tp t="s">
        <v>#N/A N/A</v>
        <stp/>
        <stp>BDH|10633716613832069116</stp>
        <tr r="U37" s="4"/>
      </tp>
      <tp t="s">
        <v>#N/A N/A</v>
        <stp/>
        <stp>BDH|14482787888609872793</stp>
        <tr r="V8" s="4"/>
      </tp>
      <tp t="s">
        <v>#N/A N/A</v>
        <stp/>
        <stp>BDH|15363516646400328124</stp>
        <tr r="K88" s="3"/>
      </tp>
      <tp t="s">
        <v>#N/A N/A</v>
        <stp/>
        <stp>BDH|10718850113655238965</stp>
        <tr r="I25" s="3"/>
      </tp>
      <tp t="s">
        <v>#N/A N/A</v>
        <stp/>
        <stp>BDH|16399958135871045869</stp>
        <tr r="D41" s="3"/>
      </tp>
      <tp t="s">
        <v>#N/A N/A</v>
        <stp/>
        <stp>BDH|15273534923496613112</stp>
        <tr r="H29" s="2"/>
      </tp>
      <tp t="s">
        <v>#N/A N/A</v>
        <stp/>
        <stp>BDH|11307745029193861228</stp>
        <tr r="G85" s="3"/>
      </tp>
      <tp t="s">
        <v>#N/A N/A</v>
        <stp/>
        <stp>BDH|12987791745601429557</stp>
        <tr r="W49" s="4"/>
      </tp>
      <tp t="s">
        <v>#N/A N/A</v>
        <stp/>
        <stp>BDH|13627191248731725248</stp>
        <tr r="V65" s="3"/>
      </tp>
      <tp t="s">
        <v>#N/A N/A</v>
        <stp/>
        <stp>BDH|15803117058227158343</stp>
        <tr r="T27" s="3"/>
      </tp>
      <tp t="s">
        <v>#N/A N/A</v>
        <stp/>
        <stp>BDH|14621774620645743127</stp>
        <tr r="Y27" s="3"/>
      </tp>
      <tp t="s">
        <v>#N/A N/A</v>
        <stp/>
        <stp>BDH|15984593829074818359</stp>
        <tr r="M22" s="2"/>
      </tp>
      <tp t="s">
        <v>#N/A N/A</v>
        <stp/>
        <stp>BDH|16512261374055715343</stp>
        <tr r="J36" s="4"/>
      </tp>
      <tp t="s">
        <v>#N/A N/A</v>
        <stp/>
        <stp>BDH|12189292676387216589</stp>
        <tr r="V31" s="4"/>
      </tp>
      <tp t="s">
        <v>#N/A N/A</v>
        <stp/>
        <stp>BDH|15097158233184617641</stp>
        <tr r="O89" s="3"/>
      </tp>
      <tp t="s">
        <v>#N/A N/A</v>
        <stp/>
        <stp>BDH|18145826714641151526</stp>
        <tr r="Z71" s="2"/>
      </tp>
      <tp t="s">
        <v>#N/A N/A</v>
        <stp/>
        <stp>BDH|15512477562616578411</stp>
        <tr r="P35" s="2"/>
        <tr r="P47" s="2"/>
      </tp>
      <tp t="s">
        <v>#N/A N/A</v>
        <stp/>
        <stp>BDH|13717414755485411236</stp>
        <tr r="H15" s="3"/>
      </tp>
      <tp t="s">
        <v>#N/A N/A</v>
        <stp/>
        <stp>BDH|18143297808428130751</stp>
        <tr r="O70" s="2"/>
      </tp>
      <tp t="s">
        <v>#N/A N/A</v>
        <stp/>
        <stp>BDH|10339289108051731633</stp>
        <tr r="Y58" s="3"/>
      </tp>
      <tp t="s">
        <v>#N/A N/A</v>
        <stp/>
        <stp>BDH|10858497651461397547</stp>
        <tr r="X19" s="2"/>
      </tp>
      <tp t="s">
        <v>#N/A N/A</v>
        <stp/>
        <stp>BDH|13906365979760799265</stp>
        <tr r="R87" s="3"/>
      </tp>
      <tp t="s">
        <v>#N/A N/A</v>
        <stp/>
        <stp>BDH|10227065613871134512</stp>
        <tr r="E28" s="3"/>
      </tp>
      <tp t="s">
        <v>#N/A N/A</v>
        <stp/>
        <stp>BDH|15248921696873679376</stp>
        <tr r="R77" s="3"/>
      </tp>
      <tp t="s">
        <v>#N/A N/A</v>
        <stp/>
        <stp>BDH|14562204893002930880</stp>
        <tr r="V33" s="3"/>
      </tp>
      <tp t="s">
        <v>#N/A N/A</v>
        <stp/>
        <stp>BDH|17580362618169591993</stp>
        <tr r="V33" s="2"/>
      </tp>
      <tp t="s">
        <v>#N/A N/A</v>
        <stp/>
        <stp>BDH|13076459543866277030</stp>
        <tr r="G43" s="3"/>
      </tp>
      <tp t="s">
        <v>#N/A N/A</v>
        <stp/>
        <stp>BDH|15825275415723855055</stp>
        <tr r="L43" s="2"/>
      </tp>
      <tp t="s">
        <v>#N/A N/A</v>
        <stp/>
        <stp>BDH|17974391014748475871</stp>
        <tr r="H65" s="3"/>
      </tp>
      <tp t="s">
        <v>#N/A N/A</v>
        <stp/>
        <stp>BDH|11159450660571008737</stp>
        <tr r="K65" s="4"/>
      </tp>
      <tp t="s">
        <v>#N/A N/A</v>
        <stp/>
        <stp>BDH|14265579006283056753</stp>
        <tr r="C29" s="4"/>
      </tp>
      <tp t="s">
        <v>#N/A N/A</v>
        <stp/>
        <stp>BDH|17027378560887100009</stp>
        <tr r="R44" s="3"/>
      </tp>
      <tp t="s">
        <v>#N/A N/A</v>
        <stp/>
        <stp>BDH|11660454560255610338</stp>
        <tr r="S30" s="4"/>
      </tp>
      <tp t="s">
        <v>#N/A N/A</v>
        <stp/>
        <stp>BDH|13375289178257728420</stp>
        <tr r="V19" s="3"/>
      </tp>
      <tp t="s">
        <v>#N/A N/A</v>
        <stp/>
        <stp>BDH|12001844786591451607</stp>
        <tr r="R34" s="3"/>
      </tp>
      <tp t="s">
        <v>#N/A N/A</v>
        <stp/>
        <stp>BDH|11149475372267433066</stp>
        <tr r="P39" s="2"/>
      </tp>
      <tp t="s">
        <v>#N/A N/A</v>
        <stp/>
        <stp>BDH|12157299767586143589</stp>
        <tr r="X12" s="3"/>
      </tp>
      <tp t="s">
        <v>#N/A N/A</v>
        <stp/>
        <stp>BDH|13626130545246983503</stp>
        <tr r="X59" s="4"/>
      </tp>
      <tp t="s">
        <v>#N/A N/A</v>
        <stp/>
        <stp>BDH|18444401497050891026</stp>
        <tr r="H64" s="4"/>
      </tp>
      <tp t="s">
        <v>#N/A N/A</v>
        <stp/>
        <stp>BDH|15814788336626706286</stp>
        <tr r="T17" s="3"/>
      </tp>
      <tp t="s">
        <v>#N/A N/A</v>
        <stp/>
        <stp>BDH|16973117942700202618</stp>
        <tr r="P68" s="2"/>
      </tp>
      <tp t="s">
        <v>#N/A N/A</v>
        <stp/>
        <stp>BDH|16937300797210216953</stp>
        <tr r="W87" s="3"/>
      </tp>
      <tp t="s">
        <v>#N/A N/A</v>
        <stp/>
        <stp>BDH|11366042165035328784</stp>
        <tr r="V58" s="4"/>
      </tp>
      <tp t="s">
        <v>#N/A N/A</v>
        <stp/>
        <stp>BDH|12327650412423469391</stp>
        <tr r="S21" s="2"/>
      </tp>
      <tp t="s">
        <v>#N/A N/A</v>
        <stp/>
        <stp>BDH|10057395490799634663</stp>
        <tr r="J61" s="2"/>
      </tp>
      <tp t="s">
        <v>#N/A N/A</v>
        <stp/>
        <stp>BDH|11855900325966537918</stp>
        <tr r="F46" s="3"/>
      </tp>
      <tp t="s">
        <v>#N/A N/A</v>
        <stp/>
        <stp>BDH|11890758364316143310</stp>
        <tr r="P22" s="4"/>
      </tp>
      <tp t="s">
        <v>#N/A N/A</v>
        <stp/>
        <stp>BDH|12900725373014010311</stp>
        <tr r="L16" s="3"/>
      </tp>
      <tp t="s">
        <v>#N/A N/A</v>
        <stp/>
        <stp>BDH|11969239117656046149</stp>
        <tr r="S32" s="4"/>
      </tp>
      <tp t="s">
        <v>#N/A N/A</v>
        <stp/>
        <stp>BDH|13771687343533615730</stp>
        <tr r="E69" s="3"/>
      </tp>
      <tp t="s">
        <v>#N/A N/A</v>
        <stp/>
        <stp>BDH|16601872431551841909</stp>
        <tr r="S90" s="3"/>
      </tp>
      <tp t="s">
        <v>#N/A N/A</v>
        <stp/>
        <stp>BDH|17639933874194927800</stp>
        <tr r="Q59" s="3"/>
      </tp>
      <tp t="s">
        <v>#N/A N/A</v>
        <stp/>
        <stp>BDH|15620520514792133693</stp>
        <tr r="H15" s="2"/>
      </tp>
      <tp t="s">
        <v>#N/A N/A</v>
        <stp/>
        <stp>BDH|13119781285888497104</stp>
        <tr r="K18" s="4"/>
      </tp>
      <tp t="s">
        <v>#N/A N/A</v>
        <stp/>
        <stp>BDH|17846189725265655482</stp>
        <tr r="U42" s="2"/>
      </tp>
      <tp t="s">
        <v>#N/A N/A</v>
        <stp/>
        <stp>BDH|12083602419726578674</stp>
        <tr r="D41" s="2"/>
      </tp>
      <tp t="s">
        <v>#N/A N/A</v>
        <stp/>
        <stp>BDH|14594336574131934403</stp>
        <tr r="R66" s="3"/>
      </tp>
      <tp t="s">
        <v>#N/A N/A</v>
        <stp/>
        <stp>BDH|14738998054628161508</stp>
        <tr r="Z23" s="2"/>
      </tp>
      <tp t="s">
        <v>#N/A N/A</v>
        <stp/>
        <stp>BDH|15786393680869033253</stp>
        <tr r="N38" s="3"/>
      </tp>
      <tp t="s">
        <v>#N/A N/A</v>
        <stp/>
        <stp>BDH|14419626469750526110</stp>
        <tr r="C52" s="2"/>
      </tp>
      <tp t="s">
        <v>#N/A N/A</v>
        <stp/>
        <stp>BDH|16529561666998836868</stp>
        <tr r="O78" s="3"/>
      </tp>
      <tp t="s">
        <v>#N/A N/A</v>
        <stp/>
        <stp>BDH|16180422339314482051</stp>
        <tr r="X26" s="2"/>
      </tp>
      <tp t="s">
        <v>#N/A N/A</v>
        <stp/>
        <stp>BDH|13410079452277840430</stp>
        <tr r="Z61" s="4"/>
      </tp>
      <tp t="s">
        <v>#N/A N/A</v>
        <stp/>
        <stp>BDH|17235820292333069085</stp>
        <tr r="T84" s="3"/>
      </tp>
      <tp t="s">
        <v>#N/A N/A</v>
        <stp/>
        <stp>BDH|10770942098611216431</stp>
        <tr r="E33" s="3"/>
      </tp>
      <tp t="s">
        <v>#N/A N/A</v>
        <stp/>
        <stp>BDH|11724751414392575090</stp>
        <tr r="Y50" s="2"/>
      </tp>
      <tp t="s">
        <v>#N/A N/A</v>
        <stp/>
        <stp>BDH|11454915639387502935</stp>
        <tr r="X21" s="3"/>
      </tp>
      <tp t="s">
        <v>#N/A N/A</v>
        <stp/>
        <stp>BDH|16881755866371648301</stp>
        <tr r="H71" s="2"/>
      </tp>
      <tp t="s">
        <v>#N/A N/A</v>
        <stp/>
        <stp>BDH|18004219926225836822</stp>
        <tr r="G7" s="4"/>
      </tp>
      <tp t="s">
        <v>#N/A N/A</v>
        <stp/>
        <stp>BDH|11398374746066678593</stp>
        <tr r="S24" s="2"/>
      </tp>
      <tp t="s">
        <v>#N/A N/A</v>
        <stp/>
        <stp>BDH|13821495456595871228</stp>
        <tr r="Z42" s="4"/>
      </tp>
      <tp t="s">
        <v>#N/A N/A</v>
        <stp/>
        <stp>BDH|11481985181035996099</stp>
        <tr r="K70" s="3"/>
      </tp>
      <tp t="s">
        <v>#N/A N/A</v>
        <stp/>
        <stp>BDH|14665216624793919275</stp>
        <tr r="F14" s="2"/>
      </tp>
      <tp t="s">
        <v>#N/A N/A</v>
        <stp/>
        <stp>BDH|18378563995026434796</stp>
        <tr r="H69" s="3"/>
      </tp>
      <tp t="s">
        <v>#N/A N/A</v>
        <stp/>
        <stp>BDH|15934254661720346432</stp>
        <tr r="C31" s="4"/>
      </tp>
      <tp t="s">
        <v>#N/A N/A</v>
        <stp/>
        <stp>BDH|17262340088110390908</stp>
        <tr r="O49" s="3"/>
      </tp>
      <tp t="s">
        <v>#N/A N/A</v>
        <stp/>
        <stp>BDH|15140347925647430693</stp>
        <tr r="Q50" s="3"/>
      </tp>
      <tp t="s">
        <v>#N/A N/A</v>
        <stp/>
        <stp>BDH|14905182372007877060</stp>
        <tr r="T61" s="3"/>
      </tp>
      <tp t="s">
        <v>#N/A N/A</v>
        <stp/>
        <stp>BDH|11909550415824536407</stp>
        <tr r="M23" s="2"/>
      </tp>
      <tp t="s">
        <v>#N/A N/A</v>
        <stp/>
        <stp>BDH|14246875880201126083</stp>
        <tr r="I17" s="3"/>
      </tp>
      <tp t="s">
        <v>#N/A N/A</v>
        <stp/>
        <stp>BDH|12328198302510665628</stp>
        <tr r="G62" s="3"/>
      </tp>
      <tp t="s">
        <v>#N/A N/A</v>
        <stp/>
        <stp>BDH|11614819483295845109</stp>
        <tr r="C30" s="2"/>
      </tp>
      <tp t="s">
        <v>#N/A N/A</v>
        <stp/>
        <stp>BDH|10990153641007554749</stp>
        <tr r="Q70" s="2"/>
      </tp>
      <tp t="s">
        <v>#N/A N/A</v>
        <stp/>
        <stp>BDH|12633962165610173885</stp>
        <tr r="Y54" s="4"/>
      </tp>
      <tp t="s">
        <v>#N/A N/A</v>
        <stp/>
        <stp>BDH|14407163108600379069</stp>
        <tr r="G89" s="3"/>
      </tp>
      <tp t="s">
        <v>#N/A N/A</v>
        <stp/>
        <stp>BDH|15774998892860005038</stp>
        <tr r="Q51" s="2"/>
      </tp>
      <tp t="s">
        <v>#N/A N/A</v>
        <stp/>
        <stp>BDH|17980217196759030019</stp>
        <tr r="I22" s="3"/>
      </tp>
      <tp t="s">
        <v>#N/A N/A</v>
        <stp/>
        <stp>BDH|10437093160135189638</stp>
        <tr r="Y14" s="3"/>
      </tp>
      <tp t="s">
        <v>#N/A N/A</v>
        <stp/>
        <stp>BDH|10250619766821866422</stp>
        <tr r="S46" s="3"/>
      </tp>
      <tp t="s">
        <v>#N/A N/A</v>
        <stp/>
        <stp>BDH|11978133840934131548</stp>
        <tr r="P93" s="3"/>
      </tp>
      <tp t="s">
        <v>#N/A N/A</v>
        <stp/>
        <stp>BDH|10958515524650551278</stp>
        <tr r="D39" s="3"/>
      </tp>
      <tp t="s">
        <v>#N/A N/A</v>
        <stp/>
        <stp>BDH|14194560601914804008</stp>
        <tr r="V11" s="4"/>
      </tp>
      <tp t="s">
        <v>#N/A N/A</v>
        <stp/>
        <stp>BDH|15185597645001158024</stp>
        <tr r="F19" s="3"/>
      </tp>
      <tp t="s">
        <v>#N/A N/A</v>
        <stp/>
        <stp>BDH|10901629033730246047</stp>
        <tr r="G22" s="2"/>
      </tp>
      <tp t="s">
        <v>#N/A N/A</v>
        <stp/>
        <stp>BDH|11563739591988131284</stp>
        <tr r="Y52" s="3"/>
      </tp>
      <tp t="s">
        <v>#N/A N/A</v>
        <stp/>
        <stp>BDH|15075805289164474434</stp>
        <tr r="P24" s="4"/>
      </tp>
      <tp t="s">
        <v>#N/A N/A</v>
        <stp/>
        <stp>BDH|13875505866840984595</stp>
        <tr r="W64" s="2"/>
      </tp>
      <tp t="s">
        <v>#N/A N/A</v>
        <stp/>
        <stp>BDH|10913535414037325631</stp>
        <tr r="U66" s="4"/>
      </tp>
      <tp t="s">
        <v>#N/A N/A</v>
        <stp/>
        <stp>BDH|17634014798762066913</stp>
        <tr r="E31" s="2"/>
      </tp>
      <tp t="s">
        <v>#N/A N/A</v>
        <stp/>
        <stp>BDH|11267780981359716220</stp>
        <tr r="S9" s="3"/>
      </tp>
      <tp t="s">
        <v>#N/A N/A</v>
        <stp/>
        <stp>BDH|15205263261994995027</stp>
        <tr r="I37" s="4"/>
      </tp>
      <tp t="s">
        <v>#N/A N/A</v>
        <stp/>
        <stp>BDH|17693408519111451651</stp>
        <tr r="L18" s="2"/>
      </tp>
    </main>
    <main first="bofaddin.rtdserver">
      <tp t="s">
        <v>#N/A N/A</v>
        <stp/>
        <stp>BDH|2909698457245525888</stp>
        <tr r="G55" s="2"/>
      </tp>
      <tp t="s">
        <v>#N/A N/A</v>
        <stp/>
        <stp>BDH|8558796334538585873</stp>
        <tr r="C15" s="4"/>
      </tp>
      <tp t="s">
        <v>#N/A N/A</v>
        <stp/>
        <stp>BDH|9602377029705470168</stp>
        <tr r="Y11" s="4"/>
      </tp>
      <tp t="s">
        <v>#N/A N/A</v>
        <stp/>
        <stp>BDH|2047389158968881039</stp>
        <tr r="V30" s="4"/>
      </tp>
      <tp t="s">
        <v>#N/A N/A</v>
        <stp/>
        <stp>BDH|6076944949624656305</stp>
        <tr r="H51" s="2"/>
      </tp>
      <tp t="s">
        <v>#N/A N/A</v>
        <stp/>
        <stp>BDH|6318856748581441711</stp>
        <tr r="E59" s="3"/>
      </tp>
      <tp t="s">
        <v>#N/A N/A</v>
        <stp/>
        <stp>BDH|5766323693476973540</stp>
        <tr r="S54" s="3"/>
      </tp>
      <tp t="s">
        <v>#N/A N/A</v>
        <stp/>
        <stp>BDH|1291537029633067938</stp>
        <tr r="J27" s="3"/>
      </tp>
      <tp t="s">
        <v>#N/A N/A</v>
        <stp/>
        <stp>BDH|8582644968594491069</stp>
        <tr r="H41" s="2"/>
      </tp>
      <tp t="s">
        <v>#N/A N/A</v>
        <stp/>
        <stp>BDH|2275404458517251803</stp>
        <tr r="E63" s="4"/>
      </tp>
      <tp t="s">
        <v>#N/A N/A</v>
        <stp/>
        <stp>BDH|5045608314527558998</stp>
        <tr r="Y25" s="3"/>
      </tp>
      <tp t="s">
        <v>#N/A N/A</v>
        <stp/>
        <stp>BDH|8533646824518910847</stp>
        <tr r="E30" s="2"/>
      </tp>
      <tp t="s">
        <v>#N/A N/A</v>
        <stp/>
        <stp>BDH|2765888634401772440</stp>
        <tr r="U66" s="3"/>
      </tp>
      <tp t="s">
        <v>#N/A N/A</v>
        <stp/>
        <stp>BDH|6782241809181122929</stp>
        <tr r="Q58" s="4"/>
      </tp>
      <tp t="s">
        <v>#N/A N/A</v>
        <stp/>
        <stp>BDH|2997764399043806379</stp>
        <tr r="P30" s="2"/>
      </tp>
      <tp t="s">
        <v>#N/A N/A</v>
        <stp/>
        <stp>BDH|1552826248195340450</stp>
        <tr r="X28" s="4"/>
      </tp>
      <tp t="s">
        <v>#N/A N/A</v>
        <stp/>
        <stp>BDH|5629703738068705508</stp>
        <tr r="T13" s="4"/>
      </tp>
      <tp t="s">
        <v>#N/A N/A</v>
        <stp/>
        <stp>BDH|9454118855141640089</stp>
        <tr r="H27" s="2"/>
      </tp>
      <tp t="s">
        <v>#N/A N/A</v>
        <stp/>
        <stp>BDH|1226946038717725071</stp>
        <tr r="G30" s="2"/>
      </tp>
      <tp t="s">
        <v>#N/A N/A</v>
        <stp/>
        <stp>BDH|8606078045945247583</stp>
        <tr r="N69" s="2"/>
      </tp>
      <tp t="s">
        <v>#N/A N/A</v>
        <stp/>
        <stp>BDH|2373645107281600986</stp>
        <tr r="Q64" s="4"/>
      </tp>
      <tp t="s">
        <v>#N/A N/A</v>
        <stp/>
        <stp>BDH|1888154316315435811</stp>
        <tr r="X39" s="2"/>
      </tp>
      <tp t="s">
        <v>#N/A N/A</v>
        <stp/>
        <stp>BDH|2456250328768675619</stp>
        <tr r="H65" s="4"/>
      </tp>
      <tp t="s">
        <v>#N/A N/A</v>
        <stp/>
        <stp>BDH|7243665468972361912</stp>
        <tr r="Z72" s="3"/>
      </tp>
      <tp t="s">
        <v>#N/A N/A</v>
        <stp/>
        <stp>BDH|8868500601024291553</stp>
        <tr r="H54" s="3"/>
      </tp>
      <tp t="s">
        <v>#N/A N/A</v>
        <stp/>
        <stp>BDH|3859327674552702978</stp>
        <tr r="S63" s="3"/>
      </tp>
      <tp t="s">
        <v>#N/A N/A</v>
        <stp/>
        <stp>BDH|9876437577330327600</stp>
        <tr r="H30" s="3"/>
      </tp>
      <tp t="s">
        <v>#N/A N/A</v>
        <stp/>
        <stp>BDH|8995000559774765589</stp>
        <tr r="E48" s="4"/>
      </tp>
      <tp t="s">
        <v>#N/A N/A</v>
        <stp/>
        <stp>BDH|9499946427807951911</stp>
        <tr r="Z53" s="3"/>
      </tp>
      <tp t="s">
        <v>#N/A N/A</v>
        <stp/>
        <stp>BDH|5311630321935844869</stp>
        <tr r="Z52" s="4"/>
      </tp>
      <tp t="s">
        <v>#N/A N/A</v>
        <stp/>
        <stp>BDH|1168391319826834968</stp>
        <tr r="Z29" s="4"/>
      </tp>
      <tp t="s">
        <v>#N/A N/A</v>
        <stp/>
        <stp>BDH|2271933518007596134</stp>
        <tr r="H51" s="3"/>
      </tp>
      <tp t="s">
        <v>#N/A N/A</v>
        <stp/>
        <stp>BDH|4694028748824100823</stp>
        <tr r="W9" s="4"/>
      </tp>
      <tp t="s">
        <v>#N/A N/A</v>
        <stp/>
        <stp>BDH|8991156564060564325</stp>
        <tr r="T31" s="3"/>
      </tp>
      <tp t="s">
        <v>#N/A N/A</v>
        <stp/>
        <stp>BDH|3576478944447852812</stp>
        <tr r="L47" s="3"/>
      </tp>
      <tp t="s">
        <v>#N/A N/A</v>
        <stp/>
        <stp>BDH|9972697173485828173</stp>
        <tr r="H24" s="4"/>
      </tp>
      <tp t="s">
        <v>#N/A N/A</v>
        <stp/>
        <stp>BDH|3765764024738092298</stp>
        <tr r="K43" s="4"/>
      </tp>
      <tp t="s">
        <v>#N/A N/A</v>
        <stp/>
        <stp>BDH|2997587591614958655</stp>
        <tr r="W44" s="3"/>
      </tp>
      <tp t="s">
        <v>#N/A N/A</v>
        <stp/>
        <stp>BDH|9368185140817197768</stp>
        <tr r="P92" s="3"/>
      </tp>
      <tp t="s">
        <v>#N/A N/A</v>
        <stp/>
        <stp>BDH|7668844631939758981</stp>
        <tr r="E13" s="2"/>
      </tp>
      <tp t="s">
        <v>#N/A N/A</v>
        <stp/>
        <stp>BDH|2088651897625645485</stp>
        <tr r="Y68" s="3"/>
      </tp>
      <tp t="s">
        <v>#N/A N/A</v>
        <stp/>
        <stp>BDH|5864875762734032306</stp>
        <tr r="Q19" s="2"/>
      </tp>
      <tp t="s">
        <v>#N/A N/A</v>
        <stp/>
        <stp>BDH|3594519729060975893</stp>
        <tr r="F23" s="3"/>
      </tp>
      <tp t="s">
        <v>#N/A N/A</v>
        <stp/>
        <stp>BDH|9968317356815481675</stp>
        <tr r="O84" s="3"/>
      </tp>
      <tp t="s">
        <v>#N/A N/A</v>
        <stp/>
        <stp>BDH|3591288596124158073</stp>
        <tr r="M29" s="4"/>
      </tp>
      <tp t="s">
        <v>#N/A N/A</v>
        <stp/>
        <stp>BDH|5715289531998577060</stp>
        <tr r="X7" s="2"/>
      </tp>
      <tp t="s">
        <v>#N/A N/A</v>
        <stp/>
        <stp>BDH|5194531792777955240</stp>
        <tr r="G19" s="2"/>
      </tp>
      <tp t="s">
        <v>#N/A N/A</v>
        <stp/>
        <stp>BDH|7162683793442269658</stp>
        <tr r="T29" s="2"/>
      </tp>
      <tp t="s">
        <v>#N/A N/A</v>
        <stp/>
        <stp>BDH|7292843845873227431</stp>
        <tr r="C63" s="2"/>
      </tp>
      <tp t="s">
        <v>#N/A N/A</v>
        <stp/>
        <stp>BDH|5720933572051547615</stp>
        <tr r="L25" s="3"/>
      </tp>
      <tp t="s">
        <v>#N/A N/A</v>
        <stp/>
        <stp>BDH|9362162420122416437</stp>
        <tr r="K35" s="2"/>
        <tr r="K47" s="2"/>
      </tp>
      <tp t="s">
        <v>#N/A N/A</v>
        <stp/>
        <stp>BDH|3209507783171349306</stp>
        <tr r="V24" s="4"/>
      </tp>
      <tp t="s">
        <v>#N/A N/A</v>
        <stp/>
        <stp>BDH|6797071590950455362</stp>
        <tr r="V7" s="2"/>
      </tp>
      <tp t="s">
        <v>#N/A N/A</v>
        <stp/>
        <stp>BDH|5744903491701798830</stp>
        <tr r="Q31" s="3"/>
      </tp>
      <tp t="s">
        <v>#N/A N/A</v>
        <stp/>
        <stp>BDH|5808640586900929715</stp>
        <tr r="Y21" s="2"/>
      </tp>
      <tp t="s">
        <v>#N/A N/A</v>
        <stp/>
        <stp>BDH|2507197632568502483</stp>
        <tr r="W84" s="3"/>
      </tp>
      <tp t="s">
        <v>#N/A N/A</v>
        <stp/>
        <stp>BDH|6641401381157202166</stp>
        <tr r="V55" s="3"/>
      </tp>
      <tp t="s">
        <v>#N/A N/A</v>
        <stp/>
        <stp>BDH|2781130407456397937</stp>
        <tr r="S42" s="3"/>
      </tp>
      <tp t="s">
        <v>#N/A N/A</v>
        <stp/>
        <stp>BDH|8914314141402935137</stp>
        <tr r="O46" s="2"/>
      </tp>
      <tp t="s">
        <v>#N/A N/A</v>
        <stp/>
        <stp>BDH|8282787706476746589</stp>
        <tr r="G12" s="2"/>
      </tp>
      <tp t="s">
        <v>#N/A N/A</v>
        <stp/>
        <stp>BDH|3483729883892395259</stp>
        <tr r="C62" s="3"/>
      </tp>
      <tp t="s">
        <v>#N/A N/A</v>
        <stp/>
        <stp>BDH|8498952150461120935</stp>
        <tr r="Z64" s="4"/>
      </tp>
      <tp t="s">
        <v>#N/A N/A</v>
        <stp/>
        <stp>BDH|6172786154320945879</stp>
        <tr r="O17" s="3"/>
      </tp>
      <tp t="s">
        <v>#N/A N/A</v>
        <stp/>
        <stp>BDH|4332552011184484807</stp>
        <tr r="I67" s="2"/>
      </tp>
      <tp t="s">
        <v>#N/A N/A</v>
        <stp/>
        <stp>BDH|8555756732931037117</stp>
        <tr r="Q72" s="2"/>
      </tp>
      <tp t="s">
        <v>#N/A N/A</v>
        <stp/>
        <stp>BDH|3760004371099237142</stp>
        <tr r="O40" s="3"/>
      </tp>
      <tp t="s">
        <v>#N/A N/A</v>
        <stp/>
        <stp>BDH|2887930258156439479</stp>
        <tr r="P36" s="4"/>
      </tp>
      <tp t="s">
        <v>#N/A N/A</v>
        <stp/>
        <stp>BDH|3187304344091667938</stp>
        <tr r="E62" s="3"/>
      </tp>
      <tp t="s">
        <v>#N/A N/A</v>
        <stp/>
        <stp>BDH|3217970244457660576</stp>
        <tr r="Z49" s="4"/>
      </tp>
      <tp t="s">
        <v>#N/A N/A</v>
        <stp/>
        <stp>BDH|5296324169729169589</stp>
        <tr r="M47" s="3"/>
      </tp>
      <tp t="s">
        <v>#N/A N/A</v>
        <stp/>
        <stp>BDH|6138657383883389741</stp>
        <tr r="K62" s="2"/>
      </tp>
      <tp t="s">
        <v>#N/A N/A</v>
        <stp/>
        <stp>BDH|5712551587040427415</stp>
        <tr r="G72" s="2"/>
      </tp>
      <tp t="s">
        <v>#N/A N/A</v>
        <stp/>
        <stp>BDH|7917281184342438317</stp>
        <tr r="C41" s="2"/>
      </tp>
      <tp t="s">
        <v>#N/A N/A</v>
        <stp/>
        <stp>BDH|2543826162640591007</stp>
        <tr r="V16" s="4"/>
      </tp>
      <tp t="s">
        <v>#N/A N/A</v>
        <stp/>
        <stp>BDH|1741659273289167503</stp>
        <tr r="G26" s="2"/>
      </tp>
      <tp t="s">
        <v>#N/A N/A</v>
        <stp/>
        <stp>BDH|7039851565757811289</stp>
        <tr r="J62" s="2"/>
      </tp>
      <tp t="s">
        <v>#N/A N/A</v>
        <stp/>
        <stp>BDH|6490787458089310173</stp>
        <tr r="E14" s="2"/>
      </tp>
      <tp t="s">
        <v>#N/A N/A</v>
        <stp/>
        <stp>BDH|4501995752505600193</stp>
        <tr r="F55" s="3"/>
      </tp>
      <tp t="s">
        <v>#N/A N/A</v>
        <stp/>
        <stp>BDH|8848829669133415968</stp>
        <tr r="O85" s="3"/>
      </tp>
      <tp t="s">
        <v>#N/A N/A</v>
        <stp/>
        <stp>BDH|3102921904494367257</stp>
        <tr r="O61" s="4"/>
      </tp>
      <tp t="s">
        <v>#N/A N/A</v>
        <stp/>
        <stp>BDH|7847047814958947206</stp>
        <tr r="V6" s="2"/>
      </tp>
      <tp t="s">
        <v>#N/A N/A</v>
        <stp/>
        <stp>BDH|2543800132895048062</stp>
        <tr r="G64" s="3"/>
      </tp>
      <tp t="s">
        <v>#N/A N/A</v>
        <stp/>
        <stp>BDH|6345340192080483001</stp>
        <tr r="U50" s="2"/>
      </tp>
      <tp t="s">
        <v>#N/A N/A</v>
        <stp/>
        <stp>BDH|1131970750713100215</stp>
        <tr r="Y24" s="3"/>
      </tp>
      <tp t="s">
        <v>#N/A N/A</v>
        <stp/>
        <stp>BDH|5405770085330915692</stp>
        <tr r="O43" s="3"/>
      </tp>
      <tp t="s">
        <v>#N/A N/A</v>
        <stp/>
        <stp>BDH|5816621489915424219</stp>
        <tr r="U18" s="4"/>
      </tp>
      <tp t="s">
        <v>#N/A N/A</v>
        <stp/>
        <stp>BDH|7227642517649641517</stp>
        <tr r="D72" s="2"/>
      </tp>
      <tp t="s">
        <v>#N/A N/A</v>
        <stp/>
        <stp>BDH|9938766216754664791</stp>
        <tr r="J13" s="4"/>
      </tp>
      <tp t="s">
        <v>#N/A N/A</v>
        <stp/>
        <stp>BDH|2334902854602531043</stp>
        <tr r="F53" s="3"/>
      </tp>
      <tp t="s">
        <v>#N/A N/A</v>
        <stp/>
        <stp>BDH|3675367369398827276</stp>
        <tr r="D61" s="4"/>
      </tp>
      <tp t="s">
        <v>#N/A N/A</v>
        <stp/>
        <stp>BDH|6348443797797441022</stp>
        <tr r="O14" s="3"/>
      </tp>
      <tp t="s">
        <v>#N/A N/A</v>
        <stp/>
        <stp>BDH|2038790595748807822</stp>
        <tr r="I35" s="2"/>
        <tr r="I47" s="2"/>
      </tp>
      <tp t="s">
        <v>#N/A N/A</v>
        <stp/>
        <stp>BDH|2679372823867779831</stp>
        <tr r="Q10" s="2"/>
      </tp>
      <tp t="s">
        <v>#N/A N/A</v>
        <stp/>
        <stp>BDH|7577777085192529649</stp>
        <tr r="X57" s="3"/>
      </tp>
      <tp t="s">
        <v>#N/A N/A</v>
        <stp/>
        <stp>BDH|5359065142068994583</stp>
        <tr r="P56" s="2"/>
      </tp>
      <tp t="s">
        <v>#N/A N/A</v>
        <stp/>
        <stp>BDH|9196776333345201411</stp>
        <tr r="T75" s="3"/>
      </tp>
      <tp t="s">
        <v>#N/A N/A</v>
        <stp/>
        <stp>BDH|4194641980652574465</stp>
        <tr r="C72" s="3"/>
      </tp>
      <tp t="s">
        <v>#N/A N/A</v>
        <stp/>
        <stp>BDH|4437631742822108839</stp>
        <tr r="O11" s="3"/>
      </tp>
      <tp t="s">
        <v>#N/A N/A</v>
        <stp/>
        <stp>BDH|3335063672559545153</stp>
        <tr r="M48" s="4"/>
      </tp>
      <tp t="s">
        <v>#N/A N/A</v>
        <stp/>
        <stp>BDH|4369173712780038816</stp>
        <tr r="R70" s="2"/>
      </tp>
      <tp t="s">
        <v>#N/A N/A</v>
        <stp/>
        <stp>BDH|1065174582774355018</stp>
        <tr r="J64" s="4"/>
      </tp>
      <tp t="s">
        <v>#N/A N/A</v>
        <stp/>
        <stp>BDH|7332890437892953236</stp>
        <tr r="L57" s="2"/>
      </tp>
      <tp t="s">
        <v>#N/A N/A</v>
        <stp/>
        <stp>BDH|1587320952719266202</stp>
        <tr r="P20" s="3"/>
      </tp>
      <tp t="s">
        <v>#N/A N/A</v>
        <stp/>
        <stp>BDH|1341708189430543282</stp>
        <tr r="V55" s="2"/>
      </tp>
      <tp t="s">
        <v>#N/A N/A</v>
        <stp/>
        <stp>BDH|8524844074089148203</stp>
        <tr r="M32" s="2"/>
      </tp>
      <tp t="s">
        <v>#N/A N/A</v>
        <stp/>
        <stp>BDH|1302783848227045976</stp>
        <tr r="Z31" s="3"/>
      </tp>
      <tp t="s">
        <v>#N/A N/A</v>
        <stp/>
        <stp>BDH|8010233223032078646</stp>
        <tr r="X66" s="2"/>
      </tp>
      <tp t="s">
        <v>#N/A N/A</v>
        <stp/>
        <stp>BDH|8134414352352272741</stp>
        <tr r="E93" s="3"/>
      </tp>
      <tp t="s">
        <v>#N/A N/A</v>
        <stp/>
        <stp>BDH|3303073631799303521</stp>
        <tr r="M88" s="3"/>
      </tp>
      <tp t="s">
        <v>#N/A N/A</v>
        <stp/>
        <stp>BDH|3401753384452849299</stp>
        <tr r="E71" s="2"/>
      </tp>
      <tp t="s">
        <v>#N/A N/A</v>
        <stp/>
        <stp>BDH|5340253742059130618</stp>
        <tr r="K22" s="3"/>
      </tp>
      <tp t="s">
        <v>#N/A N/A</v>
        <stp/>
        <stp>BDH|6624278592323164260</stp>
        <tr r="H30" s="4"/>
      </tp>
      <tp t="s">
        <v>#N/A N/A</v>
        <stp/>
        <stp>BDH|2548079019806736997</stp>
        <tr r="S31" s="4"/>
      </tp>
      <tp t="s">
        <v>#N/A N/A</v>
        <stp/>
        <stp>BDH|9671060267584509772</stp>
        <tr r="L66" s="4"/>
      </tp>
      <tp t="s">
        <v>#N/A N/A</v>
        <stp/>
        <stp>BDH|9138307395799418657</stp>
        <tr r="U33" s="4"/>
      </tp>
      <tp t="s">
        <v>#N/A N/A</v>
        <stp/>
        <stp>BDH|2695272556579392013</stp>
        <tr r="U64" s="4"/>
      </tp>
      <tp t="s">
        <v>#N/A N/A</v>
        <stp/>
        <stp>BDH|1435905402037641355</stp>
        <tr r="L8" s="2"/>
      </tp>
      <tp t="s">
        <v>#N/A N/A</v>
        <stp/>
        <stp>BDH|9026431320296708517</stp>
        <tr r="D22" s="4"/>
      </tp>
      <tp t="s">
        <v>#N/A N/A</v>
        <stp/>
        <stp>BDH|9462002445125541417</stp>
        <tr r="M49" s="3"/>
      </tp>
      <tp t="s">
        <v>#N/A N/A</v>
        <stp/>
        <stp>BDH|6680118095455444736</stp>
        <tr r="X61" s="2"/>
      </tp>
      <tp t="s">
        <v>#N/A N/A</v>
        <stp/>
        <stp>BDH|6859079929211027934</stp>
        <tr r="C59" s="3"/>
      </tp>
      <tp t="s">
        <v>#N/A N/A</v>
        <stp/>
        <stp>BDH|3433778807681773965</stp>
        <tr r="Q15" s="3"/>
      </tp>
      <tp t="s">
        <v>#N/A N/A</v>
        <stp/>
        <stp>BDH|3112418471434051846</stp>
        <tr r="E7" s="4"/>
      </tp>
      <tp t="s">
        <v>#N/A N/A</v>
        <stp/>
        <stp>BDH|91359409261340383</stp>
        <tr r="D35" s="2"/>
        <tr r="D47" s="2"/>
      </tp>
      <tp t="s">
        <v>#N/A N/A</v>
        <stp/>
        <stp>BDH|60700876608853960</stp>
        <tr r="I15" s="2"/>
      </tp>
      <tp t="s">
        <v>#N/A N/A</v>
        <stp/>
        <stp>BDH|3333195524468058541</stp>
        <tr r="I93" s="3"/>
      </tp>
      <tp t="s">
        <v>#N/A N/A</v>
        <stp/>
        <stp>BDH|5033469099246287379</stp>
        <tr r="H44" s="3"/>
      </tp>
      <tp t="s">
        <v>#N/A N/A</v>
        <stp/>
        <stp>BDH|9110954218805766916</stp>
        <tr r="P63" s="3"/>
      </tp>
      <tp t="s">
        <v>#N/A N/A</v>
        <stp/>
        <stp>BDH|7889972747275460263</stp>
        <tr r="H25" s="3"/>
      </tp>
      <tp t="s">
        <v>#N/A N/A</v>
        <stp/>
        <stp>BDH|2014928029116977281</stp>
        <tr r="H45" s="4"/>
      </tp>
      <tp t="s">
        <v>#N/A N/A</v>
        <stp/>
        <stp>BDH|6061866498459670336</stp>
        <tr r="N57" s="2"/>
      </tp>
      <tp t="s">
        <v>#N/A N/A</v>
        <stp/>
        <stp>BDH|5775592085982899781</stp>
        <tr r="J31" s="2"/>
      </tp>
      <tp t="s">
        <v>#N/A N/A</v>
        <stp/>
        <stp>BDH|5178981581551637854</stp>
        <tr r="C33" s="2"/>
      </tp>
      <tp t="s">
        <v>#N/A N/A</v>
        <stp/>
        <stp>BDH|5760634106927049997</stp>
        <tr r="M71" s="2"/>
      </tp>
      <tp t="s">
        <v>#N/A N/A</v>
        <stp/>
        <stp>BDH|9896672734301906093</stp>
        <tr r="N94" s="3"/>
      </tp>
      <tp t="s">
        <v>#N/A N/A</v>
        <stp/>
        <stp>BDH|4906184492290956118</stp>
        <tr r="S42" s="4"/>
      </tp>
      <tp t="s">
        <v>#N/A N/A</v>
        <stp/>
        <stp>BDH|6964617575052594834</stp>
        <tr r="U38" s="2"/>
      </tp>
      <tp t="s">
        <v>#N/A N/A</v>
        <stp/>
        <stp>BDH|3261911668943448279</stp>
        <tr r="G6" s="2"/>
      </tp>
      <tp t="s">
        <v>#N/A N/A</v>
        <stp/>
        <stp>BDH|1452581785997150600</stp>
        <tr r="O55" s="2"/>
      </tp>
      <tp t="s">
        <v>#N/A N/A</v>
        <stp/>
        <stp>BDH|4015405038839141716</stp>
        <tr r="K31" s="4"/>
      </tp>
      <tp t="s">
        <v>#N/A N/A</v>
        <stp/>
        <stp>BDH|2039584735839123043</stp>
        <tr r="R9" s="4"/>
      </tp>
      <tp t="s">
        <v>#N/A N/A</v>
        <stp/>
        <stp>BDH|2800711489065054595</stp>
        <tr r="K41" s="2"/>
      </tp>
      <tp t="s">
        <v>#N/A N/A</v>
        <stp/>
        <stp>BDH|2241088786404397364</stp>
        <tr r="M64" s="2"/>
      </tp>
      <tp t="s">
        <v>#N/A N/A</v>
        <stp/>
        <stp>BDH|6581549711299834614</stp>
        <tr r="R50" s="2"/>
      </tp>
      <tp t="s">
        <v>#N/A N/A</v>
        <stp/>
        <stp>BDH|5164743686614296383</stp>
        <tr r="F21" s="4"/>
      </tp>
      <tp t="s">
        <v>#N/A N/A</v>
        <stp/>
        <stp>BDH|8893222061616331715</stp>
        <tr r="Y7" s="2"/>
      </tp>
      <tp t="s">
        <v>#N/A N/A</v>
        <stp/>
        <stp>BDH|2486197327019127527</stp>
        <tr r="C25" s="3"/>
      </tp>
      <tp t="s">
        <v>#N/A N/A</v>
        <stp/>
        <stp>BDH|9457641248382896494</stp>
        <tr r="M92" s="3"/>
      </tp>
      <tp t="s">
        <v>#N/A N/A</v>
        <stp/>
        <stp>BDH|4438153162296889826</stp>
        <tr r="R39" s="2"/>
      </tp>
      <tp t="s">
        <v>#N/A N/A</v>
        <stp/>
        <stp>BDH|3775678142705224994</stp>
        <tr r="E78" s="3"/>
      </tp>
      <tp t="s">
        <v>#N/A N/A</v>
        <stp/>
        <stp>BDH|1342053958480638961</stp>
        <tr r="P66" s="2"/>
      </tp>
      <tp t="s">
        <v>#N/A N/A</v>
        <stp/>
        <stp>BDH|1906660582481575360</stp>
        <tr r="V14" s="3"/>
      </tp>
      <tp t="s">
        <v>#N/A N/A</v>
        <stp/>
        <stp>BDH|4858743015449646614</stp>
        <tr r="Y28" s="3"/>
      </tp>
      <tp t="s">
        <v>#N/A N/A</v>
        <stp/>
        <stp>BDH|9331029436821156683</stp>
        <tr r="I57" s="3"/>
      </tp>
      <tp t="s">
        <v>#N/A N/A</v>
        <stp/>
        <stp>BDH|8559321936523602699</stp>
        <tr r="Q49" s="4"/>
      </tp>
      <tp t="s">
        <v>#N/A N/A</v>
        <stp/>
        <stp>BDH|7156323046804264990</stp>
        <tr r="O29" s="2"/>
      </tp>
      <tp t="s">
        <v>#N/A N/A</v>
        <stp/>
        <stp>BDH|8994566615694304573</stp>
        <tr r="Y39" s="3"/>
      </tp>
      <tp t="s">
        <v>#N/A N/A</v>
        <stp/>
        <stp>BDH|1987623192356650510</stp>
        <tr r="V27" s="2"/>
      </tp>
      <tp t="s">
        <v>#N/A N/A</v>
        <stp/>
        <stp>BDH|4385733049958499236</stp>
        <tr r="O12" s="3"/>
      </tp>
      <tp t="s">
        <v>#N/A N/A</v>
        <stp/>
        <stp>BDH|2608799424189401314</stp>
        <tr r="U64" s="3"/>
      </tp>
      <tp t="s">
        <v>#N/A N/A</v>
        <stp/>
        <stp>BDH|5456346105019396286</stp>
        <tr r="S72" s="2"/>
      </tp>
      <tp t="s">
        <v>#N/A N/A</v>
        <stp/>
        <stp>BDH|1314484704431699976</stp>
        <tr r="P19" s="3"/>
      </tp>
      <tp t="s">
        <v>#N/A N/A</v>
        <stp/>
        <stp>BDH|4162119084332386284</stp>
        <tr r="R49" s="3"/>
      </tp>
      <tp t="s">
        <v>#N/A N/A</v>
        <stp/>
        <stp>BDH|5932793419618577634</stp>
        <tr r="S91" s="3"/>
      </tp>
      <tp t="s">
        <v>#N/A N/A</v>
        <stp/>
        <stp>BDH|5698497863459567363</stp>
        <tr r="H45" s="2"/>
      </tp>
      <tp t="s">
        <v>#N/A N/A</v>
        <stp/>
        <stp>BDH|6358873679977621342</stp>
        <tr r="N55" s="2"/>
      </tp>
      <tp t="s">
        <v>#N/A N/A</v>
        <stp/>
        <stp>BDH|7381579409577741860</stp>
        <tr r="I58" s="4"/>
      </tp>
      <tp t="s">
        <v>#N/A N/A</v>
        <stp/>
        <stp>BDH|2597060683056588193</stp>
        <tr r="S57" s="2"/>
      </tp>
      <tp t="s">
        <v>#N/A N/A</v>
        <stp/>
        <stp>BDH|9765355369886263758</stp>
        <tr r="V17" s="2"/>
      </tp>
      <tp t="s">
        <v>#N/A N/A</v>
        <stp/>
        <stp>BDH|9256428679925144244</stp>
        <tr r="O16" s="4"/>
      </tp>
      <tp t="s">
        <v>#N/A N/A</v>
        <stp/>
        <stp>BDH|7119556318099960795</stp>
        <tr r="R43" s="2"/>
      </tp>
      <tp t="s">
        <v>#N/A N/A</v>
        <stp/>
        <stp>BDH|4284685116047057900</stp>
        <tr r="E29" s="3"/>
      </tp>
      <tp t="s">
        <v>#N/A N/A</v>
        <stp/>
        <stp>BDH|8647554546897089381</stp>
        <tr r="U56" s="3"/>
      </tp>
      <tp t="s">
        <v>#N/A N/A</v>
        <stp/>
        <stp>BDH|2904752392533228216</stp>
        <tr r="S69" s="2"/>
      </tp>
      <tp t="s">
        <v>#N/A N/A</v>
        <stp/>
        <stp>BDH|8241291721691386448</stp>
        <tr r="Q49" s="2"/>
      </tp>
      <tp t="s">
        <v>#N/A N/A</v>
        <stp/>
        <stp>BDH|6872640897473117775</stp>
        <tr r="F66" s="4"/>
      </tp>
      <tp t="s">
        <v>#N/A N/A</v>
        <stp/>
        <stp>BDH|1194585685055929488</stp>
        <tr r="G31" s="3"/>
      </tp>
      <tp t="s">
        <v>#N/A N/A</v>
        <stp/>
        <stp>BDH|5889242039158054187</stp>
        <tr r="K7" s="3"/>
      </tp>
      <tp t="s">
        <v>#N/A N/A</v>
        <stp/>
        <stp>BDH|8443074970997653587</stp>
        <tr r="T33" s="2"/>
      </tp>
      <tp t="s">
        <v>#N/A N/A</v>
        <stp/>
        <stp>BDH|6491639244900739991</stp>
        <tr r="Q50" s="4"/>
      </tp>
      <tp t="s">
        <v>#N/A N/A</v>
        <stp/>
        <stp>BDH|4342905234577379499</stp>
        <tr r="T22" s="2"/>
      </tp>
      <tp t="s">
        <v>#N/A N/A</v>
        <stp/>
        <stp>BDH|7906527836255300938</stp>
        <tr r="E15" s="4"/>
      </tp>
      <tp t="s">
        <v>#N/A N/A</v>
        <stp/>
        <stp>BDH|6972660114909876518</stp>
        <tr r="D45" s="4"/>
      </tp>
      <tp t="s">
        <v>#N/A N/A</v>
        <stp/>
        <stp>BDH|6036868616280392213</stp>
        <tr r="E65" s="4"/>
      </tp>
      <tp t="s">
        <v>#N/A N/A</v>
        <stp/>
        <stp>BDH|9903620508727201535</stp>
        <tr r="Z10" s="4"/>
      </tp>
      <tp t="s">
        <v>#N/A N/A</v>
        <stp/>
        <stp>BDH|2002975574775115405</stp>
        <tr r="L10" s="3"/>
      </tp>
      <tp t="s">
        <v>#N/A N/A</v>
        <stp/>
        <stp>BDH|3174023762151244917</stp>
        <tr r="L39" s="2"/>
      </tp>
      <tp t="s">
        <v>#N/A N/A</v>
        <stp/>
        <stp>BDH|6747570884915542334</stp>
        <tr r="Q7" s="3"/>
      </tp>
      <tp t="s">
        <v>#N/A N/A</v>
        <stp/>
        <stp>BDH|7490143187650745324</stp>
        <tr r="J38" s="2"/>
      </tp>
      <tp t="s">
        <v>#N/A N/A</v>
        <stp/>
        <stp>BDH|2758349831308011700</stp>
        <tr r="H61" s="3"/>
      </tp>
      <tp t="s">
        <v>#N/A N/A</v>
        <stp/>
        <stp>BDH|1745895921053465586</stp>
        <tr r="Q16" s="3"/>
      </tp>
      <tp t="s">
        <v>#N/A N/A</v>
        <stp/>
        <stp>BDH|7846745505489945433</stp>
        <tr r="U90" s="3"/>
      </tp>
      <tp t="s">
        <v>#N/A N/A</v>
        <stp/>
        <stp>BDH|2201007092360457674</stp>
        <tr r="O76" s="3"/>
      </tp>
      <tp t="s">
        <v>#N/A N/A</v>
        <stp/>
        <stp>BDH|7261864105030328215</stp>
        <tr r="O27" s="3"/>
      </tp>
      <tp t="s">
        <v>#N/A N/A</v>
        <stp/>
        <stp>BDH|4405474721166899998</stp>
        <tr r="O18" s="2"/>
      </tp>
      <tp t="s">
        <v>#N/A N/A</v>
        <stp/>
        <stp>BDH|7469237295758389927</stp>
        <tr r="K73" s="3"/>
      </tp>
      <tp t="s">
        <v>#N/A N/A</v>
        <stp/>
        <stp>BDH|8729621826896103712</stp>
        <tr r="E89" s="3"/>
      </tp>
      <tp t="s">
        <v>#N/A N/A</v>
        <stp/>
        <stp>BDH|5362562006705287821</stp>
        <tr r="Y71" s="2"/>
      </tp>
      <tp t="s">
        <v>#N/A N/A</v>
        <stp/>
        <stp>BDH|8665204056821748343</stp>
        <tr r="X17" s="3"/>
      </tp>
      <tp t="s">
        <v>#N/A N/A</v>
        <stp/>
        <stp>BDH|5151919115555448521</stp>
        <tr r="G10" s="2"/>
      </tp>
      <tp t="s">
        <v>#N/A N/A</v>
        <stp/>
        <stp>BDH|7154563560639311045</stp>
        <tr r="D7" s="4"/>
      </tp>
      <tp t="s">
        <v>#N/A N/A</v>
        <stp/>
        <stp>BDH|8556613041885791221</stp>
        <tr r="L94" s="3"/>
      </tp>
      <tp t="s">
        <v>#N/A N/A</v>
        <stp/>
        <stp>BDH|6317262864919201633</stp>
        <tr r="E14" s="4"/>
      </tp>
      <tp t="s">
        <v>#N/A N/A</v>
        <stp/>
        <stp>BDH|4059771467069297125</stp>
        <tr r="K76" s="3"/>
      </tp>
      <tp t="s">
        <v>#N/A N/A</v>
        <stp/>
        <stp>BDH|1485390508799637637</stp>
        <tr r="O29" s="4"/>
      </tp>
      <tp t="s">
        <v>#N/A N/A</v>
        <stp/>
        <stp>BDH|9937956669472290977</stp>
        <tr r="Z20" s="2"/>
      </tp>
      <tp t="s">
        <v>#N/A N/A</v>
        <stp/>
        <stp>BDH|4065360093363726036</stp>
        <tr r="T66" s="3"/>
      </tp>
      <tp t="s">
        <v>#N/A N/A</v>
        <stp/>
        <stp>BDH|7362564862790525936</stp>
        <tr r="D56" s="3"/>
      </tp>
      <tp t="s">
        <v>#N/A N/A</v>
        <stp/>
        <stp>BDH|1566975926710419715</stp>
        <tr r="P32" s="3"/>
      </tp>
      <tp t="s">
        <v>#N/A N/A</v>
        <stp/>
        <stp>BDH|1012772133811285977</stp>
        <tr r="X38" s="2"/>
      </tp>
      <tp t="s">
        <v>#N/A N/A</v>
        <stp/>
        <stp>BDH|9201307106521171643</stp>
        <tr r="E23" s="3"/>
      </tp>
      <tp t="s">
        <v>#N/A N/A</v>
        <stp/>
        <stp>BDH|8448736020031102174</stp>
        <tr r="V66" s="4"/>
      </tp>
      <tp t="s">
        <v>#N/A N/A</v>
        <stp/>
        <stp>BDH|8110336527973147755</stp>
        <tr r="L26" s="4"/>
      </tp>
      <tp t="s">
        <v>#N/A N/A</v>
        <stp/>
        <stp>BDH|2644435805768405327</stp>
        <tr r="N11" s="2"/>
      </tp>
      <tp t="s">
        <v>#N/A N/A</v>
        <stp/>
        <stp>BDH|6880898739155664585</stp>
        <tr r="N71" s="3"/>
      </tp>
      <tp t="s">
        <v>#N/A N/A</v>
        <stp/>
        <stp>BDH|4196176046219512535</stp>
        <tr r="T9" s="3"/>
      </tp>
      <tp t="s">
        <v>#N/A N/A</v>
        <stp/>
        <stp>BDH|6489417051752768855</stp>
        <tr r="S15" s="3"/>
      </tp>
      <tp t="s">
        <v>#N/A N/A</v>
        <stp/>
        <stp>BDH|4135489053000515891</stp>
        <tr r="E24" s="2"/>
      </tp>
      <tp t="s">
        <v>#N/A N/A</v>
        <stp/>
        <stp>BDH|2945059004947788896</stp>
        <tr r="N47" s="4"/>
      </tp>
      <tp t="s">
        <v>#N/A N/A</v>
        <stp/>
        <stp>BDH|2211658346655054877</stp>
        <tr r="X52" s="2"/>
      </tp>
      <tp t="s">
        <v>#N/A N/A</v>
        <stp/>
        <stp>BDH|4045045371769697753</stp>
        <tr r="D28" s="4"/>
      </tp>
      <tp t="s">
        <v>#N/A N/A</v>
        <stp/>
        <stp>BDH|9458969395320126403</stp>
        <tr r="G51" s="3"/>
      </tp>
      <tp t="s">
        <v>#N/A N/A</v>
        <stp/>
        <stp>BDH|8693810275442182846</stp>
        <tr r="V29" s="4"/>
      </tp>
      <tp t="s">
        <v>#N/A N/A</v>
        <stp/>
        <stp>BDH|9330737020748198969</stp>
        <tr r="U17" s="2"/>
      </tp>
      <tp t="s">
        <v>#N/A N/A</v>
        <stp/>
        <stp>BDH|1583546080910625100</stp>
        <tr r="H32" s="4"/>
      </tp>
      <tp t="s">
        <v>#N/A N/A</v>
        <stp/>
        <stp>BDH|4399957324644695634</stp>
        <tr r="T7" s="2"/>
      </tp>
      <tp t="s">
        <v>#N/A N/A</v>
        <stp/>
        <stp>BDH|9800001273214567791</stp>
        <tr r="M66" s="2"/>
      </tp>
      <tp t="s">
        <v>#N/A N/A</v>
        <stp/>
        <stp>BDH|3878837973590854176</stp>
        <tr r="L12" s="3"/>
      </tp>
      <tp t="s">
        <v>#N/A N/A</v>
        <stp/>
        <stp>BDH|2416360364128587243</stp>
        <tr r="D49" s="3"/>
      </tp>
      <tp t="s">
        <v>#N/A N/A</v>
        <stp/>
        <stp>BDH|1871983148340955169</stp>
        <tr r="S27" s="4"/>
      </tp>
      <tp t="s">
        <v>#N/A N/A</v>
        <stp/>
        <stp>BDH|2633415867825404808</stp>
        <tr r="U23" s="2"/>
      </tp>
      <tp t="s">
        <v>#N/A N/A</v>
        <stp/>
        <stp>BDH|8083267614754248245</stp>
        <tr r="M8" s="3"/>
      </tp>
      <tp t="s">
        <v>#N/A N/A</v>
        <stp/>
        <stp>BDH|8448284024854877147</stp>
        <tr r="J33" s="2"/>
      </tp>
      <tp t="s">
        <v>#N/A N/A</v>
        <stp/>
        <stp>BDH|6710115694964200746</stp>
        <tr r="R34" s="2"/>
      </tp>
      <tp t="s">
        <v>#N/A N/A</v>
        <stp/>
        <stp>BDH|3883863433262858717</stp>
        <tr r="X55" s="3"/>
      </tp>
      <tp t="s">
        <v>#N/A N/A</v>
        <stp/>
        <stp>BDH|9521271234481252408</stp>
        <tr r="V56" s="3"/>
      </tp>
      <tp t="s">
        <v>#N/A N/A</v>
        <stp/>
        <stp>BDH|5075065739318396399</stp>
        <tr r="P25" s="3"/>
      </tp>
      <tp t="s">
        <v>#N/A N/A</v>
        <stp/>
        <stp>BDH|9274112284619704454</stp>
        <tr r="N33" s="4"/>
      </tp>
      <tp t="s">
        <v>#N/A N/A</v>
        <stp/>
        <stp>BDH|2360339980844014050</stp>
        <tr r="S8" s="3"/>
      </tp>
      <tp t="s">
        <v>#N/A N/A</v>
        <stp/>
        <stp>BDH|4481311998632102196</stp>
        <tr r="H18" s="2"/>
      </tp>
      <tp t="s">
        <v>#N/A N/A</v>
        <stp/>
        <stp>BDH|4789707616328744730</stp>
        <tr r="P69" s="3"/>
      </tp>
      <tp t="s">
        <v>#N/A N/A</v>
        <stp/>
        <stp>BDH|3430262711444493927</stp>
        <tr r="I65" s="4"/>
      </tp>
      <tp t="s">
        <v>#N/A N/A</v>
        <stp/>
        <stp>BDH|1575099712788859537</stp>
        <tr r="K87" s="3"/>
      </tp>
      <tp t="s">
        <v>#N/A N/A</v>
        <stp/>
        <stp>BDH|5885724783377409084</stp>
        <tr r="C20" s="3"/>
      </tp>
      <tp t="s">
        <v>#N/A N/A</v>
        <stp/>
        <stp>BDH|1720582380115896425</stp>
        <tr r="V82" s="3"/>
      </tp>
      <tp t="s">
        <v>#N/A N/A</v>
        <stp/>
        <stp>BDH|8180868405129089475</stp>
        <tr r="R45" s="4"/>
      </tp>
      <tp t="s">
        <v>#N/A N/A</v>
        <stp/>
        <stp>BDH|7028955354591744739</stp>
        <tr r="J72" s="2"/>
      </tp>
      <tp t="s">
        <v>#N/A N/A</v>
        <stp/>
        <stp>BDH|3780957515006602041</stp>
        <tr r="C68" s="2"/>
      </tp>
      <tp t="s">
        <v>#N/A N/A</v>
        <stp/>
        <stp>BDH|9437589228466603570</stp>
        <tr r="Z35" s="4"/>
      </tp>
      <tp t="s">
        <v>#N/A N/A</v>
        <stp/>
        <stp>BDH|27535008316731322</stp>
        <tr r="S66" s="3"/>
      </tp>
      <tp t="s">
        <v>#N/A N/A</v>
        <stp/>
        <stp>BDH|9908606554114433034</stp>
        <tr r="L62" s="2"/>
      </tp>
      <tp t="s">
        <v>#N/A N/A</v>
        <stp/>
        <stp>BDH|7511294767499129406</stp>
        <tr r="Q22" s="2"/>
      </tp>
      <tp t="s">
        <v>#N/A N/A</v>
        <stp/>
        <stp>BDH|7445067490150904017</stp>
        <tr r="W27" s="3"/>
      </tp>
      <tp t="s">
        <v>#N/A N/A</v>
        <stp/>
        <stp>BDH|5276893276243136762</stp>
        <tr r="D21" s="2"/>
      </tp>
      <tp t="s">
        <v>#N/A N/A</v>
        <stp/>
        <stp>BDH|9903768334226719562</stp>
        <tr r="H47" s="4"/>
      </tp>
      <tp t="s">
        <v>#N/A N/A</v>
        <stp/>
        <stp>BDH|6960530205915468816</stp>
        <tr r="D50" s="4"/>
      </tp>
      <tp t="s">
        <v>#N/A N/A</v>
        <stp/>
        <stp>BDH|1668099657572785843</stp>
        <tr r="X12" s="4"/>
      </tp>
      <tp t="s">
        <v>#N/A N/A</v>
        <stp/>
        <stp>BDH|4579855426878421899</stp>
        <tr r="Z37" s="4"/>
      </tp>
      <tp t="s">
        <v>#N/A N/A</v>
        <stp/>
        <stp>BDH|2825570282390328153</stp>
        <tr r="V16" s="3"/>
      </tp>
      <tp t="s">
        <v>#N/A N/A</v>
        <stp/>
        <stp>BDH|3187029980963081683</stp>
        <tr r="C90" s="3"/>
      </tp>
      <tp t="s">
        <v>#N/A N/A</v>
        <stp/>
        <stp>BDH|7110942969197156165</stp>
        <tr r="Y61" s="2"/>
      </tp>
      <tp t="s">
        <v>#N/A N/A</v>
        <stp/>
        <stp>BDH|3365375058382364943</stp>
        <tr r="D58" s="3"/>
      </tp>
      <tp t="s">
        <v>#N/A N/A</v>
        <stp/>
        <stp>BDH|8870499772605850006</stp>
        <tr r="G25" s="4"/>
      </tp>
      <tp t="s">
        <v>#N/A N/A</v>
        <stp/>
        <stp>BDH|7096530250620930911</stp>
        <tr r="X62" s="3"/>
      </tp>
      <tp t="s">
        <v>#N/A N/A</v>
        <stp/>
        <stp>BDH|3718411617359296186</stp>
        <tr r="L89" s="3"/>
      </tp>
      <tp t="s">
        <v>#N/A N/A</v>
        <stp/>
        <stp>BDH|6499823822440658295</stp>
        <tr r="E15" s="3"/>
      </tp>
      <tp t="s">
        <v>#N/A N/A</v>
        <stp/>
        <stp>BDH|6072800829382336027</stp>
        <tr r="L43" s="4"/>
      </tp>
      <tp t="s">
        <v>#N/A N/A</v>
        <stp/>
        <stp>BDH|3204076922837896874</stp>
        <tr r="Q24" s="4"/>
      </tp>
      <tp t="s">
        <v>#N/A N/A</v>
        <stp/>
        <stp>BDH|8119416885718804255</stp>
        <tr r="Z17" s="3"/>
      </tp>
      <tp t="s">
        <v>#N/A N/A</v>
        <stp/>
        <stp>BDH|8833912286650366748</stp>
        <tr r="V27" s="3"/>
      </tp>
      <tp t="s">
        <v>#N/A N/A</v>
        <stp/>
        <stp>BDH|7185497254999793130</stp>
        <tr r="P61" s="3"/>
      </tp>
      <tp t="s">
        <v>#N/A N/A</v>
        <stp/>
        <stp>BDH|1325036791901187794</stp>
        <tr r="Q58" s="3"/>
      </tp>
      <tp t="s">
        <v>#N/A N/A</v>
        <stp/>
        <stp>BDH|8042525133353866304</stp>
        <tr r="N13" s="2"/>
      </tp>
      <tp t="s">
        <v>#N/A N/A</v>
        <stp/>
        <stp>BDH|9856245986259020432</stp>
        <tr r="L36" s="2"/>
      </tp>
      <tp t="s">
        <v>#N/A N/A</v>
        <stp/>
        <stp>BDH|3030896609240871519</stp>
        <tr r="V25" s="3"/>
      </tp>
      <tp t="s">
        <v>#N/A N/A</v>
        <stp/>
        <stp>BDH|1993360935758755743</stp>
        <tr r="O9" s="2"/>
      </tp>
      <tp t="s">
        <v>#N/A N/A</v>
        <stp/>
        <stp>BDH|8610614217528829919</stp>
        <tr r="R11" s="3"/>
      </tp>
      <tp t="s">
        <v>#N/A N/A</v>
        <stp/>
        <stp>BDH|6822825343560580450</stp>
        <tr r="V25" s="4"/>
      </tp>
      <tp t="s">
        <v>#N/A N/A</v>
        <stp/>
        <stp>BDH|1385007986092475585</stp>
        <tr r="J47" s="4"/>
      </tp>
      <tp t="s">
        <v>#N/A N/A</v>
        <stp/>
        <stp>BDH|4599883626001436164</stp>
        <tr r="P38" s="2"/>
      </tp>
      <tp t="s">
        <v>#N/A N/A</v>
        <stp/>
        <stp>BDH|8165685498008640194</stp>
        <tr r="R69" s="3"/>
      </tp>
      <tp t="s">
        <v>#N/A N/A</v>
        <stp/>
        <stp>BDH|7614827630535350791</stp>
        <tr r="I11" s="2"/>
      </tp>
      <tp t="s">
        <v>#N/A N/A</v>
        <stp/>
        <stp>BDH|9587110257306993544</stp>
        <tr r="N11" s="3"/>
      </tp>
      <tp t="s">
        <v>#N/A N/A</v>
        <stp/>
        <stp>BDH|6112328589006766539</stp>
        <tr r="W7" s="3"/>
      </tp>
      <tp t="s">
        <v>#N/A N/A</v>
        <stp/>
        <stp>BDH|8780346746267826637</stp>
        <tr r="S37" s="2"/>
      </tp>
      <tp t="s">
        <v>#N/A N/A</v>
        <stp/>
        <stp>BDH|5467211389889352813</stp>
        <tr r="R20" s="2"/>
      </tp>
      <tp t="s">
        <v>#N/A N/A</v>
        <stp/>
        <stp>BDH|3968221287062544561</stp>
        <tr r="F17" s="3"/>
      </tp>
      <tp t="s">
        <v>#N/A N/A</v>
        <stp/>
        <stp>BDH|9128530409941398376</stp>
        <tr r="P9" s="4"/>
      </tp>
      <tp t="s">
        <v>#N/A N/A</v>
        <stp/>
        <stp>BDH|4475917661992292794</stp>
        <tr r="Y40" s="3"/>
      </tp>
      <tp t="s">
        <v>#N/A N/A</v>
        <stp/>
        <stp>BDH|2451108612544008891</stp>
        <tr r="Q20" s="2"/>
      </tp>
      <tp t="s">
        <v>#N/A N/A</v>
        <stp/>
        <stp>BDH|1760112328374484853</stp>
        <tr r="C67" s="3"/>
      </tp>
      <tp t="s">
        <v>#N/A N/A</v>
        <stp/>
        <stp>BDH|5146831044303879420</stp>
        <tr r="L24" s="3"/>
      </tp>
      <tp t="s">
        <v>#N/A N/A</v>
        <stp/>
        <stp>BDH|7928716227225437976</stp>
        <tr r="D52" s="2"/>
      </tp>
      <tp t="s">
        <v>#N/A N/A</v>
        <stp/>
        <stp>BDH|7859617239385446988</stp>
        <tr r="V62" s="2"/>
      </tp>
      <tp t="s">
        <v>#N/A N/A</v>
        <stp/>
        <stp>BDH|2953163883014369121</stp>
        <tr r="L7" s="3"/>
      </tp>
      <tp t="s">
        <v>#N/A N/A</v>
        <stp/>
        <stp>BDH|5014045407772823962</stp>
        <tr r="V12" s="2"/>
      </tp>
      <tp t="s">
        <v>#N/A N/A</v>
        <stp/>
        <stp>BDH|6674082274178567724</stp>
        <tr r="I59" s="3"/>
      </tp>
      <tp t="s">
        <v>#N/A N/A</v>
        <stp/>
        <stp>BDH|8250554912951092388</stp>
        <tr r="E66" s="4"/>
      </tp>
      <tp t="s">
        <v>#N/A N/A</v>
        <stp/>
        <stp>BDH|4396688991985729007</stp>
        <tr r="X33" s="3"/>
      </tp>
      <tp t="s">
        <v>#N/A N/A</v>
        <stp/>
        <stp>BDH|8721062763117467746</stp>
        <tr r="C21" s="3"/>
      </tp>
      <tp t="s">
        <v>#N/A N/A</v>
        <stp/>
        <stp>BDH|3948995252108411947</stp>
        <tr r="H52" s="2"/>
      </tp>
      <tp t="s">
        <v>#N/A N/A</v>
        <stp/>
        <stp>BDH|7690653894716728024</stp>
        <tr r="O18" s="4"/>
      </tp>
      <tp t="s">
        <v>#N/A N/A</v>
        <stp/>
        <stp>BDH|6584367604533445813</stp>
        <tr r="Y33" s="2"/>
      </tp>
      <tp t="s">
        <v>#N/A N/A</v>
        <stp/>
        <stp>BDH|9829030170213152388</stp>
        <tr r="Q57" s="3"/>
      </tp>
      <tp t="s">
        <v>#N/A N/A</v>
        <stp/>
        <stp>BDH|1810907460940392098</stp>
        <tr r="K42" s="4"/>
      </tp>
      <tp t="s">
        <v>#N/A N/A</v>
        <stp/>
        <stp>BDH|8994898392152485559</stp>
        <tr r="G78" s="3"/>
      </tp>
      <tp t="s">
        <v>#N/A N/A</v>
        <stp/>
        <stp>BDH|3986176022588699692</stp>
        <tr r="U29" s="4"/>
      </tp>
      <tp t="s">
        <v>#N/A N/A</v>
        <stp/>
        <stp>BDH|4696414915388879799</stp>
        <tr r="K54" s="2"/>
      </tp>
      <tp t="s">
        <v>#N/A N/A</v>
        <stp/>
        <stp>BDH|8270595725583524286</stp>
        <tr r="I11" s="3"/>
      </tp>
      <tp t="s">
        <v>#N/A N/A</v>
        <stp/>
        <stp>BDH|8229433209645332786</stp>
        <tr r="Z70" s="2"/>
      </tp>
      <tp t="s">
        <v>#N/A N/A</v>
        <stp/>
        <stp>BDH|5705000905028604372</stp>
        <tr r="S60" s="3"/>
      </tp>
      <tp t="s">
        <v>#N/A N/A</v>
        <stp/>
        <stp>BDH|3541674895842085045</stp>
        <tr r="F33" s="4"/>
      </tp>
      <tp t="s">
        <v>#N/A N/A</v>
        <stp/>
        <stp>BDH|9888186934691574428</stp>
        <tr r="D11" s="2"/>
      </tp>
      <tp t="s">
        <v>#N/A N/A</v>
        <stp/>
        <stp>BDH|8549456414734359746</stp>
        <tr r="U54" s="2"/>
      </tp>
      <tp t="s">
        <v>#N/A N/A</v>
        <stp/>
        <stp>BDH|5112860635640344028</stp>
        <tr r="Y9" s="4"/>
      </tp>
      <tp t="s">
        <v>#N/A N/A</v>
        <stp/>
        <stp>BDH|3724469285235224456</stp>
        <tr r="G68" s="2"/>
      </tp>
      <tp t="s">
        <v>#N/A N/A</v>
        <stp/>
        <stp>BDH|9387025355347301543</stp>
        <tr r="H16" s="2"/>
      </tp>
      <tp t="s">
        <v>#N/A N/A</v>
        <stp/>
        <stp>BDH|8817561729828622926</stp>
        <tr r="S7" s="2"/>
      </tp>
      <tp t="s">
        <v>#N/A N/A</v>
        <stp/>
        <stp>BDH|4654177985474679720</stp>
        <tr r="G45" s="3"/>
      </tp>
      <tp t="s">
        <v>#N/A N/A</v>
        <stp/>
        <stp>BDH|5732129685243689161</stp>
        <tr r="H67" s="3"/>
      </tp>
      <tp t="s">
        <v>#N/A N/A</v>
        <stp/>
        <stp>BDH|1775956600802218409</stp>
        <tr r="Z61" s="2"/>
      </tp>
      <tp t="s">
        <v>#N/A N/A</v>
        <stp/>
        <stp>BDH|6348133575127769925</stp>
        <tr r="I22" s="4"/>
      </tp>
      <tp t="s">
        <v>#N/A N/A</v>
        <stp/>
        <stp>BDH|6903566500919610499</stp>
        <tr r="F90" s="3"/>
      </tp>
      <tp t="s">
        <v>#N/A N/A</v>
        <stp/>
        <stp>BDH|9973642609210668126</stp>
        <tr r="X84" s="3"/>
      </tp>
      <tp t="s">
        <v>#N/A N/A</v>
        <stp/>
        <stp>BDH|9525164162340046017</stp>
        <tr r="J36" s="2"/>
      </tp>
      <tp t="s">
        <v>#N/A N/A</v>
        <stp/>
        <stp>BDH|2951942218963201775</stp>
        <tr r="F43" s="2"/>
      </tp>
      <tp t="s">
        <v>#N/A N/A</v>
        <stp/>
        <stp>BDH|4947398491478400857</stp>
        <tr r="S8" s="2"/>
      </tp>
      <tp t="s">
        <v>#N/A N/A</v>
        <stp/>
        <stp>BDH|7948628008327200811</stp>
        <tr r="J66" s="4"/>
      </tp>
      <tp t="s">
        <v>#N/A N/A</v>
        <stp/>
        <stp>BDH|2103467165088341601</stp>
        <tr r="V15" s="4"/>
      </tp>
      <tp t="s">
        <v>#N/A N/A</v>
        <stp/>
        <stp>BDH|1740961875563260272</stp>
        <tr r="N42" s="2"/>
      </tp>
      <tp t="s">
        <v>#N/A N/A</v>
        <stp/>
        <stp>BDH|4295947766915263036</stp>
        <tr r="H27" s="3"/>
      </tp>
      <tp t="s">
        <v>#N/A N/A</v>
        <stp/>
        <stp>BDH|4987795921867752877</stp>
        <tr r="R41" s="3"/>
      </tp>
      <tp t="s">
        <v>#N/A N/A</v>
        <stp/>
        <stp>BDH|4290873201002249077</stp>
        <tr r="S77" s="3"/>
      </tp>
      <tp t="s">
        <v>#N/A N/A</v>
        <stp/>
        <stp>BDH|4938065377175183887</stp>
        <tr r="S21" s="4"/>
      </tp>
      <tp t="s">
        <v>#N/A N/A</v>
        <stp/>
        <stp>BDH|9701307215896570365</stp>
        <tr r="S47" s="3"/>
      </tp>
      <tp t="s">
        <v>#N/A N/A</v>
        <stp/>
        <stp>BDH|2310826782279782551</stp>
        <tr r="G92" s="3"/>
      </tp>
      <tp t="s">
        <v>#N/A N/A</v>
        <stp/>
        <stp>BDH|4144468490413512435</stp>
        <tr r="P60" s="4"/>
      </tp>
      <tp t="s">
        <v>#N/A N/A</v>
        <stp/>
        <stp>BDH|1049941250777483416</stp>
        <tr r="O22" s="4"/>
      </tp>
      <tp t="s">
        <v>#N/A N/A</v>
        <stp/>
        <stp>BDH|2542840972435069629</stp>
        <tr r="L17" s="2"/>
      </tp>
      <tp t="s">
        <v>#N/A N/A</v>
        <stp/>
        <stp>BDH|5093169656418730715</stp>
        <tr r="G86" s="3"/>
      </tp>
      <tp t="s">
        <v>#N/A N/A</v>
        <stp/>
        <stp>BDH|6894669308799005703</stp>
        <tr r="X34" s="3"/>
      </tp>
      <tp t="s">
        <v>#N/A N/A</v>
        <stp/>
        <stp>BDH|9793534312880061304</stp>
        <tr r="V61" s="2"/>
      </tp>
      <tp t="s">
        <v>#N/A N/A</v>
        <stp/>
        <stp>BDH|8163687518998373946</stp>
        <tr r="E8" s="2"/>
      </tp>
      <tp t="s">
        <v>#N/A N/A</v>
        <stp/>
        <stp>BDH|9155240662465699670</stp>
        <tr r="M63" s="4"/>
      </tp>
      <tp t="s">
        <v>#N/A N/A</v>
        <stp/>
        <stp>BDH|2082232079189943054</stp>
        <tr r="C70" s="3"/>
      </tp>
      <tp t="s">
        <v>#N/A N/A</v>
        <stp/>
        <stp>BDH|8447573277997377312</stp>
        <tr r="W18" s="3"/>
      </tp>
      <tp t="s">
        <v>#N/A N/A</v>
        <stp/>
        <stp>BDH|9281364711704216110</stp>
        <tr r="V51" s="2"/>
      </tp>
      <tp t="s">
        <v>#N/A N/A</v>
        <stp/>
        <stp>BDH|4410103000233344805</stp>
        <tr r="U52" s="3"/>
      </tp>
      <tp t="s">
        <v>#N/A N/A</v>
        <stp/>
        <stp>BDH|8535506225814590524</stp>
        <tr r="D22" s="3"/>
      </tp>
      <tp t="s">
        <v>#N/A N/A</v>
        <stp/>
        <stp>BDH|4728861174395734057</stp>
        <tr r="W17" s="2"/>
      </tp>
      <tp t="s">
        <v>#N/A N/A</v>
        <stp/>
        <stp>BDH|7168021195073451356</stp>
        <tr r="O41" s="3"/>
      </tp>
      <tp t="s">
        <v>#N/A N/A</v>
        <stp/>
        <stp>BDH|1879080471411171973</stp>
        <tr r="U15" s="3"/>
      </tp>
      <tp t="s">
        <v>#N/A N/A</v>
        <stp/>
        <stp>BDH|4714736532538861692</stp>
        <tr r="S12" s="4"/>
      </tp>
      <tp t="s">
        <v>#N/A N/A</v>
        <stp/>
        <stp>BDH|3381913661671442305</stp>
        <tr r="E56" s="2"/>
      </tp>
      <tp t="s">
        <v>#N/A N/A</v>
        <stp/>
        <stp>BDH|1123101077019234002</stp>
        <tr r="L13" s="3"/>
      </tp>
      <tp t="s">
        <v>#N/A N/A</v>
        <stp/>
        <stp>BDH|8460375464612068131</stp>
        <tr r="P28" s="2"/>
      </tp>
      <tp t="s">
        <v>#N/A N/A</v>
        <stp/>
        <stp>BDH|8563243518213931641</stp>
        <tr r="W49" s="3"/>
      </tp>
      <tp t="s">
        <v>#N/A N/A</v>
        <stp/>
        <stp>BDH|4882095877858131533</stp>
        <tr r="F9" s="2"/>
      </tp>
      <tp t="s">
        <v>#N/A N/A</v>
        <stp/>
        <stp>BDH|4970863204832788081</stp>
        <tr r="L63" s="2"/>
      </tp>
      <tp t="s">
        <v>#N/A N/A</v>
        <stp/>
        <stp>BDH|6085825632510619320</stp>
        <tr r="X8" s="3"/>
      </tp>
      <tp t="s">
        <v>#N/A N/A</v>
        <stp/>
        <stp>BDH|7520018795038602831</stp>
        <tr r="V83" s="3"/>
      </tp>
      <tp t="s">
        <v>#N/A N/A</v>
        <stp/>
        <stp>BDH|5004209677036574864</stp>
        <tr r="T33" s="3"/>
      </tp>
      <tp t="s">
        <v>#N/A N/A</v>
        <stp/>
        <stp>BDH|5434481010758003689</stp>
        <tr r="T25" s="2"/>
      </tp>
      <tp t="s">
        <v>#N/A N/A</v>
        <stp/>
        <stp>BDH|5882137988585146776</stp>
        <tr r="O66" s="4"/>
      </tp>
      <tp t="s">
        <v>#N/A N/A</v>
        <stp/>
        <stp>BDH|5828389890318221972</stp>
        <tr r="U69" s="2"/>
      </tp>
      <tp t="s">
        <v>#N/A N/A</v>
        <stp/>
        <stp>BDH|6051923426362374128</stp>
        <tr r="R28" s="4"/>
      </tp>
      <tp t="s">
        <v>#N/A N/A</v>
        <stp/>
        <stp>BDH|8477491708657950599</stp>
        <tr r="N54" s="4"/>
      </tp>
      <tp t="s">
        <v>#N/A N/A</v>
        <stp/>
        <stp>BDH|62416643551955277</stp>
        <tr r="M44" s="3"/>
      </tp>
      <tp t="s">
        <v>#N/A N/A</v>
        <stp/>
        <stp>BDH|6873912833696669561</stp>
        <tr r="S26" s="2"/>
      </tp>
      <tp t="s">
        <v>#N/A N/A</v>
        <stp/>
        <stp>BDH|7245249814438123392</stp>
        <tr r="U13" s="3"/>
      </tp>
      <tp t="s">
        <v>#N/A N/A</v>
        <stp/>
        <stp>BDH|7056882315579588822</stp>
        <tr r="U30" s="4"/>
      </tp>
      <tp t="s">
        <v>#N/A N/A</v>
        <stp/>
        <stp>BDH|8072371228793569516</stp>
        <tr r="I14" s="3"/>
      </tp>
      <tp t="s">
        <v>#N/A N/A</v>
        <stp/>
        <stp>BDH|1819149655382497862</stp>
        <tr r="R82" s="3"/>
      </tp>
      <tp t="s">
        <v>#N/A N/A</v>
        <stp/>
        <stp>BDH|2550569587954880479</stp>
        <tr r="F39" s="3"/>
      </tp>
      <tp t="s">
        <v>#N/A N/A</v>
        <stp/>
        <stp>BDH|7467719413337455991</stp>
        <tr r="Y25" s="4"/>
      </tp>
      <tp t="s">
        <v>#N/A N/A</v>
        <stp/>
        <stp>BDH|1220699976648205746</stp>
        <tr r="G53" s="3"/>
      </tp>
      <tp t="s">
        <v>#N/A N/A</v>
        <stp/>
        <stp>BDH|2111181492536298321</stp>
        <tr r="S56" s="2"/>
      </tp>
      <tp t="s">
        <v>#N/A N/A</v>
        <stp/>
        <stp>BDH|1920828327907245358</stp>
        <tr r="D75" s="3"/>
      </tp>
      <tp t="s">
        <v>#N/A N/A</v>
        <stp/>
        <stp>BDH|9578149206397890075</stp>
        <tr r="O69" s="2"/>
      </tp>
      <tp t="s">
        <v>#N/A N/A</v>
        <stp/>
        <stp>BDH|7348842178640081778</stp>
        <tr r="J11" s="3"/>
      </tp>
      <tp t="s">
        <v>#N/A N/A</v>
        <stp/>
        <stp>BDH|1060881731545976080</stp>
        <tr r="Z16" s="3"/>
      </tp>
      <tp t="s">
        <v>#N/A N/A</v>
        <stp/>
        <stp>BDH|5840175143536371977</stp>
        <tr r="F12" s="2"/>
      </tp>
      <tp t="s">
        <v>#N/A N/A</v>
        <stp/>
        <stp>BDH|6558920354903926628</stp>
        <tr r="I21" s="4"/>
      </tp>
      <tp t="s">
        <v>#N/A N/A</v>
        <stp/>
        <stp>BDH|1264380290145292104</stp>
        <tr r="C70" s="2"/>
      </tp>
      <tp t="s">
        <v>#N/A N/A</v>
        <stp/>
        <stp>BDH|1846261380562653609</stp>
        <tr r="W18" s="4"/>
      </tp>
      <tp t="s">
        <v>#N/A N/A</v>
        <stp/>
        <stp>BDH|9043055240986820454</stp>
        <tr r="D32" s="3"/>
      </tp>
      <tp t="s">
        <v>#N/A N/A</v>
        <stp/>
        <stp>BDH|3740387682606047141</stp>
        <tr r="G36" s="2"/>
      </tp>
      <tp t="s">
        <v>#N/A N/A</v>
        <stp/>
        <stp>BDH|5090900805810980359</stp>
        <tr r="X59" s="3"/>
      </tp>
      <tp t="s">
        <v>#N/A N/A</v>
        <stp/>
        <stp>BDH|1535747327678968360</stp>
        <tr r="M41" s="2"/>
      </tp>
      <tp t="s">
        <v>#N/A N/A</v>
        <stp/>
        <stp>BDH|6940961522086057444</stp>
        <tr r="W20" s="2"/>
      </tp>
      <tp t="s">
        <v>#N/A N/A</v>
        <stp/>
        <stp>BDH|1035056962049898167</stp>
        <tr r="K41" s="3"/>
      </tp>
      <tp t="s">
        <v>#N/A N/A</v>
        <stp/>
        <stp>BDH|1071447422840714883</stp>
        <tr r="W51" s="3"/>
      </tp>
      <tp t="s">
        <v>#N/A N/A</v>
        <stp/>
        <stp>BDH|8244001776166584686</stp>
        <tr r="E11" s="4"/>
      </tp>
      <tp t="s">
        <v>#N/A N/A</v>
        <stp/>
        <stp>BDH|5963839155102100574</stp>
        <tr r="T22" s="3"/>
      </tp>
      <tp t="s">
        <v>#N/A N/A</v>
        <stp/>
        <stp>BDH|7930214495483599017</stp>
        <tr r="N26" s="2"/>
      </tp>
      <tp t="s">
        <v>#N/A N/A</v>
        <stp/>
        <stp>BDH|8261633100671773085</stp>
        <tr r="M40" s="4"/>
      </tp>
      <tp t="s">
        <v>#N/A N/A</v>
        <stp/>
        <stp>BDH|6703444143030814964</stp>
        <tr r="P91" s="3"/>
      </tp>
      <tp t="s">
        <v>#N/A N/A</v>
        <stp/>
        <stp>BDH|7951641798536848134</stp>
        <tr r="I48" s="4"/>
      </tp>
      <tp t="s">
        <v>#N/A N/A</v>
        <stp/>
        <stp>BDH|8159302739677618004</stp>
        <tr r="P52" s="2"/>
      </tp>
      <tp t="s">
        <v>#N/A N/A</v>
        <stp/>
        <stp>BDH|7525874971747853050</stp>
        <tr r="W51" s="2"/>
      </tp>
      <tp t="s">
        <v>#N/A N/A</v>
        <stp/>
        <stp>BDH|5761622094073883671</stp>
        <tr r="F42" s="4"/>
      </tp>
      <tp t="s">
        <v>#N/A N/A</v>
        <stp/>
        <stp>BDH|7014068190571003081</stp>
        <tr r="S11" s="2"/>
      </tp>
      <tp t="s">
        <v>#N/A N/A</v>
        <stp/>
        <stp>BDH|8093113238943468638</stp>
        <tr r="Z30" s="2"/>
      </tp>
      <tp t="s">
        <v>#N/A N/A</v>
        <stp/>
        <stp>BDH|2227199596097469271</stp>
        <tr r="N16" s="2"/>
      </tp>
      <tp t="s">
        <v>#N/A N/A</v>
        <stp/>
        <stp>BDH|3252725289493091071</stp>
        <tr r="K26" s="4"/>
      </tp>
      <tp t="s">
        <v>#N/A N/A</v>
        <stp/>
        <stp>BDH|4236175539479157038</stp>
        <tr r="W26" s="2"/>
      </tp>
      <tp t="s">
        <v>#N/A N/A</v>
        <stp/>
        <stp>BDH|5154143695762770087</stp>
        <tr r="V10" s="3"/>
      </tp>
      <tp t="s">
        <v>#N/A N/A</v>
        <stp/>
        <stp>BDH|9626059768940520010</stp>
        <tr r="U41" s="3"/>
      </tp>
      <tp t="s">
        <v>#N/A N/A</v>
        <stp/>
        <stp>BDH|5316157720040067990</stp>
        <tr r="H66" s="2"/>
      </tp>
      <tp t="s">
        <v>#N/A N/A</v>
        <stp/>
        <stp>BDH|1755326382614918117</stp>
        <tr r="Z56" s="2"/>
      </tp>
      <tp t="s">
        <v>#N/A N/A</v>
        <stp/>
        <stp>BDH|5788615185972454682</stp>
        <tr r="V69" s="3"/>
      </tp>
      <tp t="s">
        <v>#N/A N/A</v>
        <stp/>
        <stp>BDH|9559922761679855016</stp>
        <tr r="C15" s="2"/>
      </tp>
      <tp t="s">
        <v>#N/A N/A</v>
        <stp/>
        <stp>BDH|5356853708495901780</stp>
        <tr r="K37" s="4"/>
      </tp>
      <tp t="s">
        <v>#N/A N/A</v>
        <stp/>
        <stp>BDH|9908284103661544584</stp>
        <tr r="J43" s="4"/>
      </tp>
      <tp t="s">
        <v>#N/A N/A</v>
        <stp/>
        <stp>BDH|3982239869280921854</stp>
        <tr r="U61" s="4"/>
      </tp>
      <tp t="s">
        <v>#N/A N/A</v>
        <stp/>
        <stp>BDH|8938603302515433403</stp>
        <tr r="Q9" s="2"/>
      </tp>
      <tp t="s">
        <v>#N/A N/A</v>
        <stp/>
        <stp>BDH|1050794254669386518</stp>
        <tr r="R57" s="3"/>
      </tp>
      <tp t="s">
        <v>#N/A N/A</v>
        <stp/>
        <stp>BDH|5298882432827686617</stp>
        <tr r="F21" s="2"/>
      </tp>
      <tp t="s">
        <v>#N/A N/A</v>
        <stp/>
        <stp>BDH|7749137268958430777</stp>
        <tr r="G65" s="4"/>
      </tp>
      <tp t="s">
        <v>#N/A N/A</v>
        <stp/>
        <stp>BDH|2816512989727858740</stp>
        <tr r="M27" s="4"/>
      </tp>
      <tp t="s">
        <v>#N/A N/A</v>
        <stp/>
        <stp>BDH|6784886921312482166</stp>
        <tr r="Q76" s="3"/>
      </tp>
      <tp t="s">
        <v>#N/A N/A</v>
        <stp/>
        <stp>BDH|7653782623455760867</stp>
        <tr r="K67" s="3"/>
      </tp>
      <tp t="s">
        <v>#N/A N/A</v>
        <stp/>
        <stp>BDH|2827209957579584364</stp>
        <tr r="W49" s="2"/>
      </tp>
      <tp t="s">
        <v>#N/A N/A</v>
        <stp/>
        <stp>BDH|1873479300252439878</stp>
        <tr r="F41" s="4"/>
      </tp>
      <tp t="s">
        <v>#N/A N/A</v>
        <stp/>
        <stp>BDH|5781983983389140214</stp>
        <tr r="V25" s="2"/>
      </tp>
      <tp t="s">
        <v>#N/A N/A</v>
        <stp/>
        <stp>BDH|6978665796802447414</stp>
        <tr r="V46" s="4"/>
      </tp>
      <tp t="s">
        <v>#N/A N/A</v>
        <stp/>
        <stp>BDH|1769435679029380424</stp>
        <tr r="Z14" s="3"/>
      </tp>
      <tp t="s">
        <v>#N/A N/A</v>
        <stp/>
        <stp>BDH|4644985601281626340</stp>
        <tr r="U22" s="2"/>
      </tp>
      <tp t="s">
        <v>#N/A N/A</v>
        <stp/>
        <stp>BDH|9184922820684696986</stp>
        <tr r="L67" s="2"/>
      </tp>
      <tp t="s">
        <v>#N/A N/A</v>
        <stp/>
        <stp>BDH|2307346139739708442</stp>
        <tr r="J49" s="2"/>
      </tp>
      <tp t="s">
        <v>#N/A N/A</v>
        <stp/>
        <stp>BDH|4634209885986825766</stp>
        <tr r="G27" s="2"/>
      </tp>
      <tp t="s">
        <v>#N/A N/A</v>
        <stp/>
        <stp>BDH|2090190396582320718</stp>
        <tr r="L88" s="3"/>
      </tp>
      <tp t="s">
        <v>#N/A N/A</v>
        <stp/>
        <stp>BDH|5301274443395892926</stp>
        <tr r="C65" s="4"/>
      </tp>
      <tp t="s">
        <v>#N/A N/A</v>
        <stp/>
        <stp>BDH|9491043723720770496</stp>
        <tr r="U75" s="3"/>
      </tp>
      <tp t="s">
        <v>#N/A N/A</v>
        <stp/>
        <stp>BDH|3065340715458895645</stp>
        <tr r="O66" s="2"/>
      </tp>
      <tp t="s">
        <v>#N/A N/A</v>
        <stp/>
        <stp>BDH|4769803683783468824</stp>
        <tr r="F65" s="4"/>
      </tp>
      <tp t="s">
        <v>#N/A N/A</v>
        <stp/>
        <stp>BDH|3148954762655637627</stp>
        <tr r="W29" s="3"/>
      </tp>
      <tp t="s">
        <v>#N/A N/A</v>
        <stp/>
        <stp>BDH|1387917973934506463</stp>
        <tr r="Y17" s="3"/>
      </tp>
      <tp t="s">
        <v>#N/A N/A</v>
        <stp/>
        <stp>BDH|4060355076096346920</stp>
        <tr r="P58" s="4"/>
      </tp>
      <tp t="s">
        <v>#N/A N/A</v>
        <stp/>
        <stp>BDH|6639039581523114279</stp>
        <tr r="J55" s="2"/>
      </tp>
      <tp t="s">
        <v>#N/A N/A</v>
        <stp/>
        <stp>BDH|7149793902808196790</stp>
        <tr r="E21" s="4"/>
      </tp>
      <tp t="s">
        <v>#N/A N/A</v>
        <stp/>
        <stp>BDH|1123883229147583371</stp>
        <tr r="D30" s="4"/>
      </tp>
      <tp t="s">
        <v>#N/A N/A</v>
        <stp/>
        <stp>BDH|7114253400499036376</stp>
        <tr r="T6" s="2"/>
      </tp>
      <tp t="s">
        <v>#N/A N/A</v>
        <stp/>
        <stp>BDH|5903232376068651790</stp>
        <tr r="O31" s="4"/>
      </tp>
      <tp t="s">
        <v>#N/A N/A</v>
        <stp/>
        <stp>BDH|1000121464360501905</stp>
        <tr r="R9" s="3"/>
      </tp>
      <tp t="s">
        <v>#N/A N/A</v>
        <stp/>
        <stp>BDH|7671528123857521813</stp>
        <tr r="C91" s="3"/>
      </tp>
      <tp t="s">
        <v>#N/A N/A</v>
        <stp/>
        <stp>BDH|5254039145866501822</stp>
        <tr r="G46" s="2"/>
      </tp>
      <tp t="s">
        <v>#N/A N/A</v>
        <stp/>
        <stp>BDH|9393967591075751300</stp>
        <tr r="P90" s="3"/>
      </tp>
      <tp t="s">
        <v>#N/A N/A</v>
        <stp/>
        <stp>BDH|8698318506173729759</stp>
        <tr r="S10" s="2"/>
      </tp>
      <tp t="s">
        <v>#N/A N/A</v>
        <stp/>
        <stp>BDH|6589761480870124622</stp>
        <tr r="Y10" s="2"/>
      </tp>
      <tp t="s">
        <v>#N/A N/A</v>
        <stp/>
        <stp>BDH|1790957838877806326</stp>
        <tr r="H16" s="3"/>
      </tp>
      <tp t="s">
        <v>#N/A N/A</v>
        <stp/>
        <stp>BDH|4354347088665838575</stp>
        <tr r="Q73" s="3"/>
      </tp>
      <tp t="s">
        <v>#N/A N/A</v>
        <stp/>
        <stp>BDH|9431661216778633920</stp>
        <tr r="M17" s="2"/>
      </tp>
      <tp t="s">
        <v>#N/A N/A</v>
        <stp/>
        <stp>BDH|6950829959903066725</stp>
        <tr r="M49" s="4"/>
      </tp>
      <tp t="s">
        <v>#N/A N/A</v>
        <stp/>
        <stp>BDH|9005958541242163955</stp>
        <tr r="J22" s="3"/>
      </tp>
      <tp t="s">
        <v>#N/A N/A</v>
        <stp/>
        <stp>BDH|3469870644677739709</stp>
        <tr r="K57" s="3"/>
      </tp>
      <tp t="s">
        <v>#N/A N/A</v>
        <stp/>
        <stp>BDH|9928296082464770859</stp>
        <tr r="W48" s="4"/>
      </tp>
      <tp t="s">
        <v>#N/A N/A</v>
        <stp/>
        <stp>BDH|6570864945023339641</stp>
        <tr r="Z93" s="3"/>
      </tp>
      <tp t="s">
        <v>#N/A N/A</v>
        <stp/>
        <stp>BDH|5657275531858681373</stp>
        <tr r="O32" s="2"/>
      </tp>
      <tp t="s">
        <v>#N/A N/A</v>
        <stp/>
        <stp>BDH|6831347408112471810</stp>
        <tr r="R12" s="4"/>
      </tp>
      <tp t="s">
        <v>#N/A N/A</v>
        <stp/>
        <stp>BDH|8420328570957779400</stp>
        <tr r="Q11" s="2"/>
      </tp>
      <tp t="s">
        <v>#N/A N/A</v>
        <stp/>
        <stp>BDH|6018033486247758632</stp>
        <tr r="N63" s="3"/>
      </tp>
      <tp t="s">
        <v>#N/A N/A</v>
        <stp/>
        <stp>BDH|7041535913348723468</stp>
        <tr r="D45" s="3"/>
      </tp>
      <tp t="s">
        <v>#N/A N/A</v>
        <stp/>
        <stp>BDH|6902796406386611818</stp>
        <tr r="Z75" s="3"/>
      </tp>
      <tp t="s">
        <v>#N/A N/A</v>
        <stp/>
        <stp>BDH|5616372591916573642</stp>
        <tr r="O12" s="4"/>
      </tp>
      <tp t="s">
        <v>#N/A N/A</v>
        <stp/>
        <stp>BDH|7916830600954880441</stp>
        <tr r="W21" s="4"/>
      </tp>
      <tp t="s">
        <v>#N/A N/A</v>
        <stp/>
        <stp>BDH|1515095126719804542</stp>
        <tr r="V7" s="3"/>
      </tp>
      <tp t="s">
        <v>#N/A N/A</v>
        <stp/>
        <stp>BDH|3978917372435815745</stp>
        <tr r="E37" s="2"/>
      </tp>
      <tp t="s">
        <v>#N/A N/A</v>
        <stp/>
        <stp>BDH|7680085288422136219</stp>
        <tr r="W43" s="4"/>
      </tp>
      <tp t="s">
        <v>#N/A N/A</v>
        <stp/>
        <stp>BDH|6912173722708351292</stp>
        <tr r="D69" s="3"/>
      </tp>
      <tp t="s">
        <v>#N/A N/A</v>
        <stp/>
        <stp>BDH|7515107912771015917</stp>
        <tr r="R24" s="3"/>
      </tp>
      <tp t="s">
        <v>#N/A N/A</v>
        <stp/>
        <stp>BDH|7835066481304108481</stp>
        <tr r="N43" s="2"/>
      </tp>
      <tp t="s">
        <v>#N/A N/A</v>
        <stp/>
        <stp>BDH|5965345304869622090</stp>
        <tr r="J32" s="4"/>
      </tp>
      <tp t="s">
        <v>#N/A N/A</v>
        <stp/>
        <stp>BDH|1008519367658855583</stp>
        <tr r="K48" s="4"/>
      </tp>
      <tp t="s">
        <v>#N/A N/A</v>
        <stp/>
        <stp>BDH|7785429344229605118</stp>
        <tr r="V30" s="3"/>
      </tp>
      <tp t="s">
        <v>#N/A N/A</v>
        <stp/>
        <stp>BDH|3899384737804384826</stp>
        <tr r="P57" s="3"/>
      </tp>
      <tp t="s">
        <v>#N/A N/A</v>
        <stp/>
        <stp>BDH|1118338456410119836</stp>
        <tr r="G94" s="3"/>
      </tp>
      <tp t="s">
        <v>#N/A N/A</v>
        <stp/>
        <stp>BDH|2680377715139744648</stp>
        <tr r="L55" s="3"/>
      </tp>
      <tp t="s">
        <v>#N/A N/A</v>
        <stp/>
        <stp>BDH|7244847310686917786</stp>
        <tr r="C27" s="4"/>
      </tp>
      <tp t="s">
        <v>#N/A N/A</v>
        <stp/>
        <stp>BDH|6503895789179251004</stp>
        <tr r="V63" s="4"/>
      </tp>
      <tp t="s">
        <v>#N/A N/A</v>
        <stp/>
        <stp>BDH|3547249988114738292</stp>
        <tr r="F45" s="4"/>
      </tp>
      <tp t="s">
        <v>#N/A N/A</v>
        <stp/>
        <stp>BDH|6827836374255966321</stp>
        <tr r="D48" s="3"/>
      </tp>
      <tp t="s">
        <v>#N/A N/A</v>
        <stp/>
        <stp>BDH|8885488780203581819</stp>
        <tr r="S52" s="2"/>
      </tp>
      <tp t="s">
        <v>#N/A N/A</v>
        <stp/>
        <stp>BDH|4950426350529660392</stp>
        <tr r="V76" s="3"/>
      </tp>
      <tp t="s">
        <v>#N/A N/A</v>
        <stp/>
        <stp>BDH|9557365836115976383</stp>
        <tr r="F11" s="2"/>
      </tp>
      <tp t="s">
        <v>#N/A N/A</v>
        <stp/>
        <stp>BDH|6291224133998789008</stp>
        <tr r="P34" s="3"/>
      </tp>
      <tp t="s">
        <v>#N/A N/A</v>
        <stp/>
        <stp>BDH|5408110135941250968</stp>
        <tr r="H59" s="4"/>
      </tp>
      <tp t="s">
        <v>#N/A N/A</v>
        <stp/>
        <stp>BDH|1016693088785508502</stp>
        <tr r="D35" s="3"/>
      </tp>
      <tp t="s">
        <v>#N/A N/A</v>
        <stp/>
        <stp>BDH|2298802303780055550</stp>
        <tr r="S38" s="2"/>
      </tp>
      <tp t="s">
        <v>#N/A N/A</v>
        <stp/>
        <stp>BDH|9320533054154203229</stp>
        <tr r="F18" s="2"/>
      </tp>
      <tp t="s">
        <v>#N/A N/A</v>
        <stp/>
        <stp>BDH|4595710195570030554</stp>
        <tr r="G93" s="3"/>
      </tp>
      <tp t="s">
        <v>#N/A N/A</v>
        <stp/>
        <stp>BDH|8504180420260992401</stp>
        <tr r="X39" s="3"/>
      </tp>
      <tp t="s">
        <v>#N/A N/A</v>
        <stp/>
        <stp>BDH|9084208284428613475</stp>
        <tr r="N23" s="4"/>
      </tp>
      <tp t="s">
        <v>#N/A N/A</v>
        <stp/>
        <stp>BDH|9659443892519640237</stp>
        <tr r="W19" s="3"/>
      </tp>
      <tp t="s">
        <v>#N/A N/A</v>
        <stp/>
        <stp>BDH|4044254889050018194</stp>
        <tr r="C11" s="3"/>
      </tp>
      <tp t="s">
        <v>#N/A N/A</v>
        <stp/>
        <stp>BDH|8668032030675431147</stp>
        <tr r="N9" s="4"/>
      </tp>
      <tp t="s">
        <v>#N/A N/A</v>
        <stp/>
        <stp>BDH|2379045480455186033</stp>
        <tr r="G63" s="3"/>
      </tp>
      <tp t="s">
        <v>#N/A N/A</v>
        <stp/>
        <stp>BDH|22949385437642402</stp>
        <tr r="H62" s="3"/>
      </tp>
      <tp t="s">
        <v>#N/A N/A</v>
        <stp/>
        <stp>BDH|29923986493656050</stp>
        <tr r="F32" s="4"/>
      </tp>
      <tp t="s">
        <v>#N/A N/A</v>
        <stp/>
        <stp>BDH|74001219834984724</stp>
        <tr r="P20" s="2"/>
      </tp>
      <tp t="s">
        <v>#N/A N/A</v>
        <stp/>
        <stp>BDH|4392890453311390003</stp>
        <tr r="X36" s="4"/>
      </tp>
      <tp t="s">
        <v>#N/A N/A</v>
        <stp/>
        <stp>BDH|9406398581879325352</stp>
        <tr r="K70" s="2"/>
      </tp>
      <tp t="s">
        <v>#N/A N/A</v>
        <stp/>
        <stp>BDH|3180218329479033233</stp>
        <tr r="O14" s="4"/>
      </tp>
      <tp t="s">
        <v>#N/A N/A</v>
        <stp/>
        <stp>BDH|7390875049584669718</stp>
        <tr r="H68" s="2"/>
      </tp>
      <tp t="s">
        <v>#N/A N/A</v>
        <stp/>
        <stp>BDH|4645422498974621507</stp>
        <tr r="I41" s="4"/>
      </tp>
      <tp t="s">
        <v>#N/A N/A</v>
        <stp/>
        <stp>BDH|9386142709535243565</stp>
        <tr r="Z33" s="4"/>
      </tp>
      <tp t="s">
        <v>#N/A N/A</v>
        <stp/>
        <stp>BDH|9386230880479333291</stp>
        <tr r="K7" s="2"/>
      </tp>
      <tp t="s">
        <v>#N/A N/A</v>
        <stp/>
        <stp>BDH|1871856065632122525</stp>
        <tr r="O30" s="2"/>
      </tp>
      <tp t="s">
        <v>#N/A N/A</v>
        <stp/>
        <stp>BDH|5310882434350354670</stp>
        <tr r="X46" s="4"/>
      </tp>
      <tp t="s">
        <v>#N/A N/A</v>
        <stp/>
        <stp>BDH|6911776766647144820</stp>
        <tr r="J18" s="4"/>
      </tp>
      <tp t="s">
        <v>#N/A N/A</v>
        <stp/>
        <stp>BDH|9782317921495498584</stp>
        <tr r="K24" s="2"/>
      </tp>
      <tp t="s">
        <v>#N/A N/A</v>
        <stp/>
        <stp>BDH|4299399480974504351</stp>
        <tr r="D62" s="3"/>
      </tp>
      <tp t="s">
        <v>#N/A N/A</v>
        <stp/>
        <stp>BDH|4540091712979216470</stp>
        <tr r="L41" s="3"/>
      </tp>
      <tp t="s">
        <v>#N/A N/A</v>
        <stp/>
        <stp>BDH|8889374737177506760</stp>
        <tr r="Y87" s="3"/>
      </tp>
      <tp t="s">
        <v>#N/A N/A</v>
        <stp/>
        <stp>BDH|8159328502520307395</stp>
        <tr r="N49" s="3"/>
      </tp>
      <tp t="s">
        <v>#N/A N/A</v>
        <stp/>
        <stp>BDH|7846035323874375901</stp>
        <tr r="L61" s="4"/>
      </tp>
      <tp t="s">
        <v>#N/A N/A</v>
        <stp/>
        <stp>BDH|7669412834849958116</stp>
        <tr r="M66" s="4"/>
      </tp>
      <tp t="s">
        <v>#N/A N/A</v>
        <stp/>
        <stp>BDH|6046652073818681786</stp>
        <tr r="F13" s="2"/>
      </tp>
      <tp t="s">
        <v>#N/A N/A</v>
        <stp/>
        <stp>BDH|5915414625368101345</stp>
        <tr r="O57" s="3"/>
      </tp>
      <tp t="s">
        <v>#N/A N/A</v>
        <stp/>
        <stp>BDH|3244810944771840674</stp>
        <tr r="G29" s="3"/>
      </tp>
      <tp t="s">
        <v>#N/A N/A</v>
        <stp/>
        <stp>BDH|7624401212243848942</stp>
        <tr r="X72" s="3"/>
      </tp>
      <tp t="s">
        <v>#N/A N/A</v>
        <stp/>
        <stp>BDH|6188790893746487671</stp>
        <tr r="T16" s="3"/>
      </tp>
      <tp t="s">
        <v>#N/A N/A</v>
        <stp/>
        <stp>BDH|9805042819690580084</stp>
        <tr r="P48" s="3"/>
      </tp>
      <tp t="s">
        <v>#N/A N/A</v>
        <stp/>
        <stp>BDH|5865873147652439348</stp>
        <tr r="J71" s="2"/>
      </tp>
      <tp t="s">
        <v>#N/A N/A</v>
        <stp/>
        <stp>BDH|4497188645869149007</stp>
        <tr r="I38" s="3"/>
      </tp>
      <tp t="s">
        <v>#N/A N/A</v>
        <stp/>
        <stp>BDH|3392398991758046938</stp>
        <tr r="C37" s="4"/>
      </tp>
      <tp t="s">
        <v>#N/A N/A</v>
        <stp/>
        <stp>BDH|1183363585022821027</stp>
        <tr r="O7" s="2"/>
      </tp>
      <tp t="s">
        <v>#N/A N/A</v>
        <stp/>
        <stp>BDH|8782404153073429280</stp>
        <tr r="P62" s="2"/>
      </tp>
      <tp t="s">
        <v>#N/A N/A</v>
        <stp/>
        <stp>BDH|9066656802407637099</stp>
        <tr r="G25" s="2"/>
      </tp>
      <tp t="s">
        <v>#N/A N/A</v>
        <stp/>
        <stp>BDH|6322941388097160874</stp>
        <tr r="X7" s="3"/>
      </tp>
      <tp t="s">
        <v>#N/A N/A</v>
        <stp/>
        <stp>BDH|5441841208204978180</stp>
        <tr r="W26" s="3"/>
      </tp>
      <tp t="s">
        <v>#N/A N/A</v>
        <stp/>
        <stp>BDH|8046335214571862361</stp>
        <tr r="I45" s="2"/>
      </tp>
      <tp t="s">
        <v>#N/A N/A</v>
        <stp/>
        <stp>BDH|8139007419093258233</stp>
        <tr r="V41" s="2"/>
      </tp>
      <tp t="s">
        <v>#N/A N/A</v>
        <stp/>
        <stp>BDH|8849560207715632065</stp>
        <tr r="L66" s="2"/>
      </tp>
      <tp t="s">
        <v>#N/A N/A</v>
        <stp/>
        <stp>BDH|8530886262097699901</stp>
        <tr r="Y61" s="3"/>
      </tp>
      <tp t="s">
        <v>#N/A N/A</v>
        <stp/>
        <stp>BDH|5693956518095326010</stp>
        <tr r="F63" s="3"/>
      </tp>
      <tp t="s">
        <v>#N/A N/A</v>
        <stp/>
        <stp>BDH|4683626885341913310</stp>
        <tr r="V12" s="3"/>
      </tp>
      <tp t="s">
        <v>#N/A N/A</v>
        <stp/>
        <stp>BDH|1137123880374904443</stp>
        <tr r="M53" s="3"/>
      </tp>
      <tp t="s">
        <v>#N/A N/A</v>
        <stp/>
        <stp>BDH|2736934762792934713</stp>
        <tr r="T68" s="2"/>
      </tp>
      <tp t="s">
        <v>#N/A N/A</v>
        <stp/>
        <stp>BDH|5156507140804717889</stp>
        <tr r="T19" s="2"/>
      </tp>
      <tp t="s">
        <v>#N/A N/A</v>
        <stp/>
        <stp>BDH|9762315809152834093</stp>
        <tr r="K59" s="4"/>
      </tp>
      <tp t="s">
        <v>#N/A N/A</v>
        <stp/>
        <stp>BDH|8016931241655945855</stp>
        <tr r="D20" s="3"/>
      </tp>
      <tp t="s">
        <v>#N/A N/A</v>
        <stp/>
        <stp>BDH|3628264238079157374</stp>
        <tr r="S10" s="3"/>
      </tp>
      <tp t="s">
        <v>#N/A N/A</v>
        <stp/>
        <stp>BDH|7500841653726984458</stp>
        <tr r="S69" s="3"/>
      </tp>
      <tp t="s">
        <v>#N/A N/A</v>
        <stp/>
        <stp>BDH|5497286712547658969</stp>
        <tr r="D49" s="4"/>
      </tp>
      <tp t="s">
        <v>#N/A N/A</v>
        <stp/>
        <stp>BDH|8399034662213844545</stp>
        <tr r="S32" s="3"/>
      </tp>
      <tp t="s">
        <v>#N/A N/A</v>
        <stp/>
        <stp>BDH|4788559793559970970</stp>
        <tr r="R7" s="2"/>
      </tp>
      <tp t="s">
        <v>#N/A N/A</v>
        <stp/>
        <stp>BDH|2373794826808396707</stp>
        <tr r="G21" s="2"/>
      </tp>
      <tp t="s">
        <v>#N/A N/A</v>
        <stp/>
        <stp>BDH|9521322955745493299</stp>
        <tr r="E26" s="4"/>
      </tp>
      <tp t="s">
        <v>#N/A N/A</v>
        <stp/>
        <stp>BDH|4847855381769590569</stp>
        <tr r="P59" s="4"/>
      </tp>
      <tp t="s">
        <v>#N/A N/A</v>
        <stp/>
        <stp>BDH|4702137941808843123</stp>
        <tr r="N29" s="4"/>
      </tp>
      <tp t="s">
        <v>#N/A N/A</v>
        <stp/>
        <stp>BDH|6110821179827351660</stp>
        <tr r="R8" s="4"/>
      </tp>
      <tp t="s">
        <v>#N/A N/A</v>
        <stp/>
        <stp>BDH|9572284676415196152</stp>
        <tr r="N34" s="2"/>
      </tp>
      <tp t="s">
        <v>#N/A N/A</v>
        <stp/>
        <stp>BDH|3592956650545649290</stp>
        <tr r="N46" s="4"/>
      </tp>
      <tp t="s">
        <v>#N/A N/A</v>
        <stp/>
        <stp>BDH|4172711389270613335</stp>
        <tr r="Z27" s="4"/>
      </tp>
      <tp t="s">
        <v>#N/A N/A</v>
        <stp/>
        <stp>BDH|2820695830509504682</stp>
        <tr r="F78" s="3"/>
      </tp>
      <tp t="s">
        <v>#N/A N/A</v>
        <stp/>
        <stp>BDH|6851840691209621677</stp>
        <tr r="C46" s="3"/>
      </tp>
      <tp t="s">
        <v>#N/A N/A</v>
        <stp/>
        <stp>BDH|9876630909457801061</stp>
        <tr r="X56" s="3"/>
      </tp>
      <tp t="s">
        <v>#N/A N/A</v>
        <stp/>
        <stp>BDH|2105179431088202095</stp>
        <tr r="C40" s="2"/>
      </tp>
      <tp t="s">
        <v>#N/A N/A</v>
        <stp/>
        <stp>BDH|6581986632176455274</stp>
        <tr r="F45" s="3"/>
      </tp>
      <tp t="s">
        <v>#N/A N/A</v>
        <stp/>
        <stp>BDH|6441260988862710613</stp>
        <tr r="R29" s="4"/>
      </tp>
      <tp t="s">
        <v>#N/A N/A</v>
        <stp/>
        <stp>BDH|7866770339269914225</stp>
        <tr r="R65" s="2"/>
      </tp>
      <tp t="s">
        <v>#N/A N/A</v>
        <stp/>
        <stp>BDH|7014062898393386508</stp>
        <tr r="O17" s="4"/>
      </tp>
      <tp t="s">
        <v>#N/A N/A</v>
        <stp/>
        <stp>BDH|8888755470782882286</stp>
        <tr r="W32" s="4"/>
      </tp>
      <tp t="s">
        <v>#N/A N/A</v>
        <stp/>
        <stp>BDH|4345690794064322700</stp>
        <tr r="C56" s="3"/>
      </tp>
      <tp t="s">
        <v>#N/A N/A</v>
        <stp/>
        <stp>BDH|8628394272306373234</stp>
        <tr r="K25" s="4"/>
      </tp>
      <tp t="s">
        <v>#N/A N/A</v>
        <stp/>
        <stp>BDH|2524539078131757946</stp>
        <tr r="X47" s="4"/>
      </tp>
      <tp t="s">
        <v>#N/A N/A</v>
        <stp/>
        <stp>BDH|5982114053809299047</stp>
        <tr r="L49" s="2"/>
      </tp>
      <tp t="s">
        <v>#N/A N/A</v>
        <stp/>
        <stp>BDH|7010988967854592474</stp>
        <tr r="W66" s="3"/>
      </tp>
      <tp t="s">
        <v>#N/A N/A</v>
        <stp/>
        <stp>BDH|7026843106113962497</stp>
        <tr r="Q17" s="2"/>
      </tp>
      <tp t="s">
        <v>#N/A N/A</v>
        <stp/>
        <stp>BDH|3278945719014478794</stp>
        <tr r="L61" s="3"/>
      </tp>
      <tp t="s">
        <v>#N/A N/A</v>
        <stp/>
        <stp>BDH|5638614040466628930</stp>
        <tr r="H24" s="2"/>
      </tp>
      <tp t="s">
        <v>#N/A N/A</v>
        <stp/>
        <stp>BDH|5427625151386360861</stp>
        <tr r="Z12" s="3"/>
      </tp>
      <tp t="s">
        <v>#N/A N/A</v>
        <stp/>
        <stp>BDH|1668923862310362672</stp>
        <tr r="O64" s="2"/>
      </tp>
      <tp t="s">
        <v>#N/A N/A</v>
        <stp/>
        <stp>BDH|2042014071269061421</stp>
        <tr r="O33" s="3"/>
      </tp>
      <tp t="s">
        <v>#N/A N/A</v>
        <stp/>
        <stp>BDH|9067327911331482252</stp>
        <tr r="I50" s="2"/>
      </tp>
      <tp t="s">
        <v>#N/A N/A</v>
        <stp/>
        <stp>BDH|6608831602790394663</stp>
        <tr r="S9" s="4"/>
      </tp>
      <tp t="s">
        <v>#N/A N/A</v>
        <stp/>
        <stp>BDH|5682193888340413409</stp>
        <tr r="Y23" s="4"/>
      </tp>
      <tp t="s">
        <v>#N/A N/A</v>
        <stp/>
        <stp>BDH|8944652340292926065</stp>
        <tr r="N36" s="2"/>
      </tp>
      <tp t="s">
        <v>#N/A N/A</v>
        <stp/>
        <stp>BDH|3311956937343661240</stp>
        <tr r="T41" s="4"/>
      </tp>
      <tp t="s">
        <v>#N/A N/A</v>
        <stp/>
        <stp>BDH|6355428552646074908</stp>
        <tr r="S23" s="4"/>
      </tp>
      <tp t="s">
        <v>#N/A N/A</v>
        <stp/>
        <stp>BDH|3256920415885131678</stp>
        <tr r="X77" s="3"/>
      </tp>
      <tp t="s">
        <v>#N/A N/A</v>
        <stp/>
        <stp>BDH|7662393829867712926</stp>
        <tr r="S65" s="4"/>
      </tp>
      <tp t="s">
        <v>#N/A N/A</v>
        <stp/>
        <stp>BDH|5660958137743731407</stp>
        <tr r="T63" s="4"/>
      </tp>
      <tp t="s">
        <v>#N/A N/A</v>
        <stp/>
        <stp>BDH|7665035696092585456</stp>
        <tr r="D58" s="4"/>
      </tp>
      <tp t="s">
        <v>#N/A N/A</v>
        <stp/>
        <stp>BDH|7468893858737367561</stp>
        <tr r="S11" s="3"/>
      </tp>
      <tp t="s">
        <v>#N/A N/A</v>
        <stp/>
        <stp>BDH|8791787058346233459</stp>
        <tr r="L10" s="2"/>
      </tp>
      <tp t="s">
        <v>#N/A N/A</v>
        <stp/>
        <stp>BDH|6670869280349385732</stp>
        <tr r="Z26" s="4"/>
      </tp>
      <tp t="s">
        <v>#N/A N/A</v>
        <stp/>
        <stp>BDH|9556162028711210397</stp>
        <tr r="P29" s="2"/>
      </tp>
      <tp t="s">
        <v>#N/A N/A</v>
        <stp/>
        <stp>BDH|3097305380995633560</stp>
        <tr r="C89" s="3"/>
      </tp>
      <tp t="s">
        <v>#N/A N/A</v>
        <stp/>
        <stp>BDH|1647049999769237990</stp>
        <tr r="J61" s="4"/>
      </tp>
      <tp t="s">
        <v>#N/A N/A</v>
        <stp/>
        <stp>BDH|9104438390049402560</stp>
        <tr r="F89" s="3"/>
      </tp>
      <tp t="s">
        <v>#N/A N/A</v>
        <stp/>
        <stp>BDH|1422429608459712496</stp>
        <tr r="V42" s="4"/>
      </tp>
      <tp t="s">
        <v>#N/A N/A</v>
        <stp/>
        <stp>BDH|9411629908695856260</stp>
        <tr r="F49" s="4"/>
      </tp>
      <tp t="s">
        <v>#N/A N/A</v>
        <stp/>
        <stp>BDH|1467520380555684107</stp>
        <tr r="L30" s="2"/>
      </tp>
      <tp t="s">
        <v>#N/A N/A</v>
        <stp/>
        <stp>BDH|7671056425859412427</stp>
        <tr r="L32" s="3"/>
      </tp>
      <tp t="s">
        <v>#N/A N/A</v>
        <stp/>
        <stp>BDH|3740811818440706282</stp>
        <tr r="G16" s="2"/>
      </tp>
      <tp t="s">
        <v>#N/A N/A</v>
        <stp/>
        <stp>BDH|1237237871848805498</stp>
        <tr r="T24" s="2"/>
      </tp>
      <tp t="s">
        <v>#N/A N/A</v>
        <stp/>
        <stp>BDH|6038384729318756775</stp>
        <tr r="M58" s="4"/>
      </tp>
      <tp t="s">
        <v>#N/A N/A</v>
        <stp/>
        <stp>BDH|8191214540854669277</stp>
        <tr r="I54" s="2"/>
      </tp>
      <tp t="s">
        <v>#N/A N/A</v>
        <stp/>
        <stp>BDH|4559412833889182273</stp>
        <tr r="I42" s="3"/>
      </tp>
      <tp t="s">
        <v>#N/A N/A</v>
        <stp/>
        <stp>BDH|7546049316726501832</stp>
        <tr r="F61" s="4"/>
      </tp>
      <tp t="s">
        <v>#N/A N/A</v>
        <stp/>
        <stp>BDH|1762349023761369926</stp>
        <tr r="G10" s="4"/>
      </tp>
      <tp t="s">
        <v>#N/A N/A</v>
        <stp/>
        <stp>BDH|2902207728152792870</stp>
        <tr r="C8" s="2"/>
      </tp>
      <tp t="s">
        <v>#N/A N/A</v>
        <stp/>
        <stp>BDH|8162429019460873532</stp>
        <tr r="F32" s="2"/>
      </tp>
      <tp t="s">
        <v>#N/A N/A</v>
        <stp/>
        <stp>BDH|7713436547837385864</stp>
        <tr r="H14" s="4"/>
      </tp>
      <tp t="s">
        <v>#N/A N/A</v>
        <stp/>
        <stp>BDH|3968772352049902037</stp>
        <tr r="I55" s="2"/>
      </tp>
      <tp t="s">
        <v>#N/A N/A</v>
        <stp/>
        <stp>BDH|8983618070792670384</stp>
        <tr r="J93" s="3"/>
      </tp>
      <tp t="s">
        <v>#N/A N/A</v>
        <stp/>
        <stp>BDH|5456114225316242841</stp>
        <tr r="O63" s="3"/>
      </tp>
      <tp t="s">
        <v>#N/A N/A</v>
        <stp/>
        <stp>BDH|6700907710443791563</stp>
        <tr r="M50" s="4"/>
      </tp>
      <tp t="s">
        <v>#N/A N/A</v>
        <stp/>
        <stp>BDH|9689059175717977199</stp>
        <tr r="O58" s="3"/>
      </tp>
      <tp t="s">
        <v>#N/A N/A</v>
        <stp/>
        <stp>BDH|9197711060790059061</stp>
        <tr r="W76" s="3"/>
      </tp>
      <tp t="s">
        <v>#N/A N/A</v>
        <stp/>
        <stp>BDH|3298805661457316262</stp>
        <tr r="G48" s="4"/>
      </tp>
      <tp t="s">
        <v>#N/A N/A</v>
        <stp/>
        <stp>BDH|9565187069093536578</stp>
        <tr r="W35" s="4"/>
      </tp>
      <tp t="s">
        <v>#N/A N/A</v>
        <stp/>
        <stp>BDH|8808777159563285126</stp>
        <tr r="T54" s="2"/>
      </tp>
      <tp t="s">
        <v>#N/A N/A</v>
        <stp/>
        <stp>BDH|2181454846012141848</stp>
        <tr r="H60" s="3"/>
      </tp>
      <tp t="s">
        <v>#N/A N/A</v>
        <stp/>
        <stp>BDH|8548771449246541590</stp>
        <tr r="N92" s="3"/>
      </tp>
      <tp t="s">
        <v>#N/A N/A</v>
        <stp/>
        <stp>BDH|8900885192114062540</stp>
        <tr r="D47" s="3"/>
      </tp>
      <tp t="s">
        <v>#N/A N/A</v>
        <stp/>
        <stp>BDH|9090279356545103370</stp>
        <tr r="Z54" s="2"/>
      </tp>
      <tp t="s">
        <v>#N/A N/A</v>
        <stp/>
        <stp>BDH|7124741349598818432</stp>
        <tr r="M42" s="4"/>
      </tp>
      <tp t="s">
        <v>#N/A N/A</v>
        <stp/>
        <stp>BDH|8605657866021096129</stp>
        <tr r="W7" s="2"/>
      </tp>
      <tp t="s">
        <v>#N/A N/A</v>
        <stp/>
        <stp>BDH|9810172460075825308</stp>
        <tr r="T23" s="3"/>
      </tp>
      <tp t="s">
        <v>#N/A N/A</v>
        <stp/>
        <stp>BDH|2301476214618694712</stp>
        <tr r="X30" s="2"/>
      </tp>
      <tp t="s">
        <v>#N/A N/A</v>
        <stp/>
        <stp>BDH|2305640107845647916</stp>
        <tr r="K37" s="2"/>
      </tp>
      <tp t="s">
        <v>#N/A N/A</v>
        <stp/>
        <stp>BDH|3094938650961556617</stp>
        <tr r="J39" s="3"/>
      </tp>
      <tp t="s">
        <v>#N/A N/A</v>
        <stp/>
        <stp>BDH|2272469071071649847</stp>
        <tr r="H24" s="3"/>
      </tp>
      <tp t="s">
        <v>#N/A N/A</v>
        <stp/>
        <stp>BDH|9268012248397932258</stp>
        <tr r="J13" s="3"/>
      </tp>
      <tp t="s">
        <v>#N/A N/A</v>
        <stp/>
        <stp>BDH|8595003466733242566</stp>
        <tr r="Z44" s="3"/>
      </tp>
      <tp t="s">
        <v>#N/A N/A</v>
        <stp/>
        <stp>BDH|2038229581663633320</stp>
        <tr r="U28" s="3"/>
      </tp>
      <tp t="s">
        <v>#N/A N/A</v>
        <stp/>
        <stp>BDH|1254145793627216636</stp>
        <tr r="G49" s="4"/>
      </tp>
      <tp t="s">
        <v>#N/A N/A</v>
        <stp/>
        <stp>BDH|7002217278589465395</stp>
        <tr r="I77" s="3"/>
      </tp>
      <tp t="s">
        <v>#N/A N/A</v>
        <stp/>
        <stp>BDH|4856753580117007497</stp>
        <tr r="C17" s="2"/>
      </tp>
      <tp t="s">
        <v>#N/A N/A</v>
        <stp/>
        <stp>BDH|3755139707788197260</stp>
        <tr r="O16" s="3"/>
      </tp>
      <tp t="s">
        <v>#N/A N/A</v>
        <stp/>
        <stp>BDH|4438931667380146350</stp>
        <tr r="I66" s="4"/>
      </tp>
      <tp t="s">
        <v>#N/A N/A</v>
        <stp/>
        <stp>BDH|9982237473943863755</stp>
        <tr r="Q30" s="4"/>
      </tp>
      <tp t="s">
        <v>#N/A N/A</v>
        <stp/>
        <stp>BDH|3983836358894018260</stp>
        <tr r="U35" s="4"/>
      </tp>
      <tp t="s">
        <v>#N/A N/A</v>
        <stp/>
        <stp>BDH|3256782510115825862</stp>
        <tr r="E52" s="3"/>
      </tp>
      <tp t="s">
        <v>#N/A N/A</v>
        <stp/>
        <stp>BDH|6194753403230116924</stp>
        <tr r="Y44" s="3"/>
      </tp>
      <tp t="s">
        <v>#N/A N/A</v>
        <stp/>
        <stp>BDH|1242561322216117838</stp>
        <tr r="W29" s="2"/>
      </tp>
      <tp t="s">
        <v>#N/A N/A</v>
        <stp/>
        <stp>BDH|4045301722274699900</stp>
        <tr r="C36" s="4"/>
      </tp>
      <tp t="s">
        <v>#N/A N/A</v>
        <stp/>
        <stp>BDH|7645708802829620168</stp>
        <tr r="H82" s="3"/>
      </tp>
      <tp t="s">
        <v>#N/A N/A</v>
        <stp/>
        <stp>BDH|7979334261138875265</stp>
        <tr r="G34" s="3"/>
      </tp>
      <tp t="s">
        <v>#N/A N/A</v>
        <stp/>
        <stp>BDH|8400400921251301732</stp>
        <tr r="Y57" s="3"/>
      </tp>
      <tp t="s">
        <v>#N/A N/A</v>
        <stp/>
        <stp>BDH|7120144991374921380</stp>
        <tr r="P37" s="2"/>
      </tp>
      <tp t="s">
        <v>#N/A N/A</v>
        <stp/>
        <stp>BDH|9829619434553907719</stp>
        <tr r="G40" s="3"/>
      </tp>
      <tp t="s">
        <v>#N/A N/A</v>
        <stp/>
        <stp>BDH|4645241629605675982</stp>
        <tr r="W15" s="4"/>
      </tp>
      <tp t="s">
        <v>#N/A N/A</v>
        <stp/>
        <stp>BDH|1408682928519592443</stp>
        <tr r="H25" s="2"/>
      </tp>
      <tp t="s">
        <v>#N/A N/A</v>
        <stp/>
        <stp>BDH|7040934929553367631</stp>
        <tr r="V10" s="2"/>
      </tp>
      <tp t="s">
        <v>#N/A N/A</v>
        <stp/>
        <stp>BDH|7639227478779304256</stp>
        <tr r="H74" s="3"/>
      </tp>
      <tp t="s">
        <v>#N/A N/A</v>
        <stp/>
        <stp>BDH|3324178486947951410</stp>
        <tr r="Y31" s="2"/>
      </tp>
      <tp t="s">
        <v>#N/A N/A</v>
        <stp/>
        <stp>BDH|9533892995417375608</stp>
        <tr r="N72" s="2"/>
      </tp>
      <tp t="s">
        <v>#N/A N/A</v>
        <stp/>
        <stp>BDH|6106819172088114892</stp>
        <tr r="P59" s="3"/>
      </tp>
      <tp t="s">
        <v>#N/A N/A</v>
        <stp/>
        <stp>BDH|1371474016285854814</stp>
        <tr r="M29" s="2"/>
      </tp>
      <tp t="s">
        <v>#N/A N/A</v>
        <stp/>
        <stp>BDH|4747549415640867958</stp>
        <tr r="N40" s="4"/>
      </tp>
      <tp t="s">
        <v>#N/A N/A</v>
        <stp/>
        <stp>BDH|4058923720243854515</stp>
        <tr r="E90" s="3"/>
      </tp>
      <tp t="s">
        <v>#N/A N/A</v>
        <stp/>
        <stp>BDH|8366342492528777390</stp>
        <tr r="I31" s="3"/>
      </tp>
      <tp t="s">
        <v>#N/A N/A</v>
        <stp/>
        <stp>BDH|9982671851070199359</stp>
        <tr r="G13" s="3"/>
      </tp>
      <tp t="s">
        <v>#N/A N/A</v>
        <stp/>
        <stp>BDH|6483980867591347130</stp>
        <tr r="K17" s="4"/>
      </tp>
      <tp t="s">
        <v>#N/A N/A</v>
        <stp/>
        <stp>BDH|2801443671941557932</stp>
        <tr r="Y6" s="2"/>
      </tp>
      <tp t="s">
        <v>#N/A N/A</v>
        <stp/>
        <stp>BDH|8611665332873184789</stp>
        <tr r="V11" s="3"/>
      </tp>
      <tp t="s">
        <v>#N/A N/A</v>
        <stp/>
        <stp>BDH|5959864442048158844</stp>
        <tr r="Z22" s="4"/>
      </tp>
      <tp t="s">
        <v>#N/A N/A</v>
        <stp/>
        <stp>BDH|8106652769760049152</stp>
        <tr r="O93" s="3"/>
      </tp>
      <tp t="s">
        <v>#N/A N/A</v>
        <stp/>
        <stp>BDH|5928314412306257803</stp>
        <tr r="U40" s="3"/>
      </tp>
      <tp t="s">
        <v>#N/A N/A</v>
        <stp/>
        <stp>BDH|1723385904809789242</stp>
        <tr r="O68" s="2"/>
      </tp>
      <tp t="s">
        <v>#N/A N/A</v>
        <stp/>
        <stp>BDH|7496451132971981822</stp>
        <tr r="H37" s="2"/>
      </tp>
      <tp t="s">
        <v>#N/A N/A</v>
        <stp/>
        <stp>BDH|5375327433464994836</stp>
        <tr r="S83" s="3"/>
      </tp>
      <tp t="s">
        <v>#N/A N/A</v>
        <stp/>
        <stp>BDH|1751078349398435457</stp>
        <tr r="V28" s="3"/>
      </tp>
      <tp t="s">
        <v>#N/A N/A</v>
        <stp/>
        <stp>BDH|9804938851938197432</stp>
        <tr r="W27" s="4"/>
      </tp>
      <tp t="s">
        <v>#N/A N/A</v>
        <stp/>
        <stp>BDH|7173237887712441699</stp>
        <tr r="E41" s="3"/>
      </tp>
      <tp t="s">
        <v>#N/A N/A</v>
        <stp/>
        <stp>BDH|4477695513842240841</stp>
        <tr r="M73" s="3"/>
      </tp>
      <tp t="s">
        <v>#N/A N/A</v>
        <stp/>
        <stp>BDH|8855752276769627843</stp>
        <tr r="V41" s="4"/>
      </tp>
      <tp t="s">
        <v>#N/A N/A</v>
        <stp/>
        <stp>BDH|3297362490738466898</stp>
        <tr r="Y26" s="2"/>
      </tp>
      <tp t="s">
        <v>#N/A N/A</v>
        <stp/>
        <stp>BDH|1966213073445659841</stp>
        <tr r="E43" s="3"/>
      </tp>
      <tp t="s">
        <v>#N/A N/A</v>
        <stp/>
        <stp>BDH|6761189374001185833</stp>
        <tr r="K18" s="2"/>
      </tp>
      <tp t="s">
        <v>#N/A N/A</v>
        <stp/>
        <stp>BDH|6240639606328998170</stp>
        <tr r="H21" s="2"/>
      </tp>
      <tp t="s">
        <v>#N/A N/A</v>
        <stp/>
        <stp>BDH|6686035207529272699</stp>
        <tr r="R59" s="3"/>
      </tp>
      <tp t="s">
        <v>#N/A N/A</v>
        <stp/>
        <stp>BDH|9103468855429205895</stp>
        <tr r="T29" s="4"/>
      </tp>
      <tp t="s">
        <v>#N/A N/A</v>
        <stp/>
        <stp>BDH|5771833616443904628</stp>
        <tr r="W74" s="3"/>
      </tp>
      <tp t="s">
        <v>#N/A N/A</v>
        <stp/>
        <stp>BDH|1486954805984493597</stp>
        <tr r="Q17" s="4"/>
      </tp>
      <tp t="s">
        <v>#N/A N/A</v>
        <stp/>
        <stp>BDH|9808555116903022723</stp>
        <tr r="J87" s="3"/>
      </tp>
      <tp t="s">
        <v>#N/A N/A</v>
        <stp/>
        <stp>BDH|1475992410903720331</stp>
        <tr r="F72" s="2"/>
      </tp>
      <tp t="s">
        <v>#N/A N/A</v>
        <stp/>
        <stp>BDH|4390199852518882192</stp>
        <tr r="Y33" s="4"/>
      </tp>
      <tp t="s">
        <v>#N/A N/A</v>
        <stp/>
        <stp>BDH|1633709281264638385</stp>
        <tr r="L35" s="3"/>
      </tp>
      <tp t="s">
        <v>#N/A N/A</v>
        <stp/>
        <stp>BDH|1081895164347172128</stp>
        <tr r="S66" s="2"/>
      </tp>
      <tp t="s">
        <v>#N/A N/A</v>
        <stp/>
        <stp>BDH|5947867254708742923</stp>
        <tr r="Q46" s="4"/>
      </tp>
      <tp t="s">
        <v>#N/A N/A</v>
        <stp/>
        <stp>BDH|1378970951270231494</stp>
        <tr r="Q33" s="2"/>
      </tp>
      <tp t="s">
        <v>#N/A N/A</v>
        <stp/>
        <stp>BDH|9697449611807995247</stp>
        <tr r="C42" s="3"/>
      </tp>
      <tp t="s">
        <v>#N/A N/A</v>
        <stp/>
        <stp>BDH|4422114756018895152</stp>
        <tr r="N31" s="2"/>
      </tp>
      <tp t="s">
        <v>#N/A N/A</v>
        <stp/>
        <stp>BDH|7120586484927548464</stp>
        <tr r="T52" s="3"/>
      </tp>
      <tp t="s">
        <v>#N/A N/A</v>
        <stp/>
        <stp>BDH|2487086560884385913</stp>
        <tr r="I49" s="3"/>
      </tp>
      <tp t="s">
        <v>#N/A N/A</v>
        <stp/>
        <stp>BDH|9266367021321843038</stp>
        <tr r="X27" s="4"/>
      </tp>
      <tp t="s">
        <v>#N/A N/A</v>
        <stp/>
        <stp>BDH|5088283297930875784</stp>
        <tr r="Q86" s="3"/>
      </tp>
      <tp t="s">
        <v>#N/A N/A</v>
        <stp/>
        <stp>BDH|9221402224187949106</stp>
        <tr r="G24" s="2"/>
      </tp>
      <tp t="s">
        <v>#N/A N/A</v>
        <stp/>
        <stp>BDH|5900420602191609906</stp>
        <tr r="Z25" s="3"/>
      </tp>
      <tp t="s">
        <v>#N/A N/A</v>
        <stp/>
        <stp>BDH|6038333988117024345</stp>
        <tr r="D66" s="4"/>
      </tp>
      <tp t="s">
        <v>#N/A N/A</v>
        <stp/>
        <stp>BDH|4093718581391883370</stp>
        <tr r="Y50" s="4"/>
      </tp>
      <tp t="s">
        <v>#N/A N/A</v>
        <stp/>
        <stp>BDH|2491273839609641332</stp>
        <tr r="T10" s="4"/>
      </tp>
      <tp t="s">
        <v>#N/A N/A</v>
        <stp/>
        <stp>BDH|6269379645481672991</stp>
        <tr r="X18" s="4"/>
      </tp>
      <tp t="s">
        <v>#N/A N/A</v>
        <stp/>
        <stp>BDH|4622336313246085993</stp>
        <tr r="S26" s="3"/>
      </tp>
      <tp t="s">
        <v>#N/A N/A</v>
        <stp/>
        <stp>BDH|8611072009926475732</stp>
        <tr r="T13" s="2"/>
      </tp>
      <tp t="s">
        <v>#N/A N/A</v>
        <stp/>
        <stp>BDH|8423248502040819354</stp>
        <tr r="U74" s="3"/>
      </tp>
      <tp t="s">
        <v>#N/A N/A</v>
        <stp/>
        <stp>BDH|2823014794160413257</stp>
        <tr r="W56" s="3"/>
      </tp>
      <tp t="s">
        <v>#N/A N/A</v>
        <stp/>
        <stp>BDH|8128031466056004183</stp>
        <tr r="P25" s="4"/>
      </tp>
      <tp t="s">
        <v>#N/A N/A</v>
        <stp/>
        <stp>BDH|9064498924017995182</stp>
        <tr r="I28" s="3"/>
      </tp>
      <tp t="s">
        <v>#N/A N/A</v>
        <stp/>
        <stp>BDH|8265678076872742285</stp>
        <tr r="W65" s="4"/>
      </tp>
      <tp t="s">
        <v>#N/A N/A</v>
        <stp/>
        <stp>BDH|3698887817230640332</stp>
        <tr r="L31" s="2"/>
      </tp>
      <tp t="s">
        <v>#N/A N/A</v>
        <stp/>
        <stp>BDH|8281417019605056160</stp>
        <tr r="H22" s="3"/>
      </tp>
      <tp t="s">
        <v>#N/A N/A</v>
        <stp/>
        <stp>BDH|7912959581028107707</stp>
        <tr r="G7" s="2"/>
      </tp>
      <tp t="s">
        <v>#N/A N/A</v>
        <stp/>
        <stp>BDH|1007595725138182703</stp>
        <tr r="E47" s="3"/>
      </tp>
      <tp t="s">
        <v>#N/A N/A</v>
        <stp/>
        <stp>BDH|8331155071116326167</stp>
        <tr r="V53" s="3"/>
      </tp>
      <tp t="s">
        <v>#N/A N/A</v>
        <stp/>
        <stp>BDH|5280103463813588869</stp>
        <tr r="X52" s="4"/>
      </tp>
      <tp t="s">
        <v>#N/A N/A</v>
        <stp/>
        <stp>BDH|1227759856522107827</stp>
        <tr r="K23" s="2"/>
      </tp>
      <tp t="s">
        <v>#N/A N/A</v>
        <stp/>
        <stp>BDH|5507651036909144054</stp>
        <tr r="S49" s="3"/>
      </tp>
      <tp t="s">
        <v>#N/A N/A</v>
        <stp/>
        <stp>BDH|3710565621714315918</stp>
        <tr r="R6" s="2"/>
      </tp>
      <tp t="s">
        <v>#N/A N/A</v>
        <stp/>
        <stp>BDH|7214602914270664928</stp>
        <tr r="U44" s="4"/>
      </tp>
      <tp t="s">
        <v>#N/A N/A</v>
        <stp/>
        <stp>BDH|7710869844363092160</stp>
        <tr r="Y14" s="2"/>
      </tp>
      <tp t="s">
        <v>#N/A N/A</v>
        <stp/>
        <stp>BDH|9062714100481454661</stp>
        <tr r="Q34" s="2"/>
      </tp>
      <tp t="s">
        <v>#N/A N/A</v>
        <stp/>
        <stp>BDH|3529266993276376704</stp>
        <tr r="V11" s="2"/>
      </tp>
      <tp t="s">
        <v>#N/A N/A</v>
        <stp/>
        <stp>BDH|4711993395439045485</stp>
        <tr r="T30" s="3"/>
      </tp>
      <tp t="s">
        <v>#N/A N/A</v>
        <stp/>
        <stp>BDH|6310408482927341412</stp>
        <tr r="M17" s="3"/>
      </tp>
      <tp t="s">
        <v>#N/A N/A</v>
        <stp/>
        <stp>BDH|7464228771153466800</stp>
        <tr r="C29" s="3"/>
      </tp>
      <tp t="s">
        <v>#N/A N/A</v>
        <stp/>
        <stp>BDH|7954753912271554988</stp>
        <tr r="N84" s="3"/>
      </tp>
      <tp t="s">
        <v>#N/A N/A</v>
        <stp/>
        <stp>BDH|8074329100596060415</stp>
        <tr r="R51" s="3"/>
      </tp>
      <tp t="s">
        <v>#N/A N/A</v>
        <stp/>
        <stp>BDH|7595003796293036403</stp>
        <tr r="G11" s="2"/>
      </tp>
      <tp t="s">
        <v>#N/A N/A</v>
        <stp/>
        <stp>BDH|7933736769169979698</stp>
        <tr r="C24" s="3"/>
      </tp>
      <tp t="s">
        <v>#N/A N/A</v>
        <stp/>
        <stp>BDH|9749927981013206259</stp>
        <tr r="V12" s="4"/>
      </tp>
      <tp t="s">
        <v>#N/A N/A</v>
        <stp/>
        <stp>BDH|1969061085992936203</stp>
        <tr r="Y14" s="4"/>
      </tp>
      <tp t="s">
        <v>#N/A N/A</v>
        <stp/>
        <stp>BDH|4182735490552959183</stp>
        <tr r="E30" s="3"/>
      </tp>
      <tp t="s">
        <v>#N/A N/A</v>
        <stp/>
        <stp>BDH|2957856520440870141</stp>
        <tr r="Y18" s="3"/>
      </tp>
      <tp t="s">
        <v>#N/A N/A</v>
        <stp/>
        <stp>BDH|9619770292499055731</stp>
        <tr r="R62" s="3"/>
      </tp>
      <tp t="s">
        <v>#N/A N/A</v>
        <stp/>
        <stp>BDH|4477574082512101205</stp>
        <tr r="V50" s="2"/>
      </tp>
      <tp t="s">
        <v>#N/A N/A</v>
        <stp/>
        <stp>BDH|2623913111983739019</stp>
        <tr r="K44" s="3"/>
      </tp>
      <tp t="s">
        <v>#N/A N/A</v>
        <stp/>
        <stp>BDH|3571332385242255317</stp>
        <tr r="K51" s="2"/>
      </tp>
      <tp t="s">
        <v>#N/A N/A</v>
        <stp/>
        <stp>BDH|6821247938016056845</stp>
        <tr r="I47" s="4"/>
      </tp>
      <tp t="s">
        <v>#N/A N/A</v>
        <stp/>
        <stp>BDH|9771385946371068693</stp>
        <tr r="P14" s="4"/>
      </tp>
      <tp t="s">
        <v>#N/A N/A</v>
        <stp/>
        <stp>BDH|7823002720885921911</stp>
        <tr r="Q68" s="3"/>
      </tp>
      <tp t="s">
        <v>#N/A N/A</v>
        <stp/>
        <stp>BDH|4876219153989939325</stp>
        <tr r="X34" s="4"/>
      </tp>
      <tp t="s">
        <v>#N/A N/A</v>
        <stp/>
        <stp>BDH|5071066871399732210</stp>
        <tr r="D36" s="2"/>
      </tp>
      <tp t="s">
        <v>#N/A N/A</v>
        <stp/>
        <stp>BDH|7891816068860710075</stp>
        <tr r="N46" s="2"/>
      </tp>
      <tp t="s">
        <v>#N/A N/A</v>
        <stp/>
        <stp>BDH|8080998488160645066</stp>
        <tr r="C47" s="4"/>
      </tp>
      <tp t="s">
        <v>#N/A N/A</v>
        <stp/>
        <stp>BDH|1211506983237463247</stp>
        <tr r="I26" s="3"/>
      </tp>
      <tp t="s">
        <v>#N/A N/A</v>
        <stp/>
        <stp>BDH|8620952591013704247</stp>
        <tr r="I34" s="3"/>
      </tp>
      <tp t="s">
        <v>#N/A N/A</v>
        <stp/>
        <stp>BDH|7344964943294399742</stp>
        <tr r="Z24" s="4"/>
      </tp>
      <tp t="s">
        <v>#N/A N/A</v>
        <stp/>
        <stp>BDH|9543369942272438544</stp>
        <tr r="S6" s="2"/>
      </tp>
      <tp t="s">
        <v>#N/A N/A</v>
        <stp/>
        <stp>BDH|9486019451567392265</stp>
        <tr r="N12" s="3"/>
      </tp>
      <tp t="s">
        <v>#N/A N/A</v>
        <stp/>
        <stp>BDH|8223423747914024562</stp>
        <tr r="C32" s="3"/>
      </tp>
      <tp t="s">
        <v>#N/A N/A</v>
        <stp/>
        <stp>BDH|7718085424845805924</stp>
        <tr r="N22" s="4"/>
      </tp>
      <tp t="s">
        <v>#N/A N/A</v>
        <stp/>
        <stp>BDH|3437443686686390045</stp>
        <tr r="I66" s="2"/>
      </tp>
      <tp t="s">
        <v>#N/A N/A</v>
        <stp/>
        <stp>BDH|5187975585019750454</stp>
        <tr r="S72" s="3"/>
      </tp>
      <tp t="s">
        <v>#N/A N/A</v>
        <stp/>
        <stp>BDH|8129649337692709641</stp>
        <tr r="T53" s="3"/>
      </tp>
      <tp t="s">
        <v>#N/A N/A</v>
        <stp/>
        <stp>BDH|3488858296283757818</stp>
        <tr r="M46" s="3"/>
      </tp>
      <tp t="s">
        <v>#N/A N/A</v>
        <stp/>
        <stp>BDH|1735795727828950515</stp>
        <tr r="W33" s="3"/>
      </tp>
      <tp t="s">
        <v>#N/A N/A</v>
        <stp/>
        <stp>BDH|2234721755790436908</stp>
        <tr r="D64" s="2"/>
      </tp>
      <tp t="s">
        <v>#N/A N/A</v>
        <stp/>
        <stp>BDH|9513837172767686849</stp>
        <tr r="T50" s="3"/>
      </tp>
      <tp t="s">
        <v>#N/A N/A</v>
        <stp/>
        <stp>BDH|4749168595573398613</stp>
        <tr r="F83" s="3"/>
      </tp>
      <tp t="s">
        <v>#N/A N/A</v>
        <stp/>
        <stp>BDH|4753405726328625314</stp>
        <tr r="Q55" s="2"/>
      </tp>
      <tp t="s">
        <v>#N/A N/A</v>
        <stp/>
        <stp>BDH|8814425147799889832</stp>
        <tr r="Z30" s="3"/>
      </tp>
      <tp t="s">
        <v>#N/A N/A</v>
        <stp/>
        <stp>BDH|9503563550645790524</stp>
        <tr r="U91" s="3"/>
      </tp>
      <tp t="s">
        <v>#N/A N/A</v>
        <stp/>
        <stp>BDH|2417922237394446525</stp>
        <tr r="U11" s="4"/>
      </tp>
      <tp t="s">
        <v>#N/A N/A</v>
        <stp/>
        <stp>BDH|8816815990538796899</stp>
        <tr r="I65" s="3"/>
      </tp>
      <tp t="s">
        <v>#N/A N/A</v>
        <stp/>
        <stp>BDH|1339042280045789579</stp>
        <tr r="W71" s="2"/>
      </tp>
      <tp t="s">
        <v>#N/A N/A</v>
        <stp/>
        <stp>BDH|9077819586873651360</stp>
        <tr r="E44" s="3"/>
      </tp>
      <tp t="s">
        <v>#N/A N/A</v>
        <stp/>
        <stp>BDH|3714383715591800954</stp>
        <tr r="N61" s="2"/>
      </tp>
      <tp t="s">
        <v>#N/A N/A</v>
        <stp/>
        <stp>BDH|6087249286600216573</stp>
        <tr r="S12" s="2"/>
      </tp>
      <tp t="s">
        <v>#N/A N/A</v>
        <stp/>
        <stp>BDH|5752706165109227474</stp>
        <tr r="S24" s="4"/>
      </tp>
      <tp t="s">
        <v>#N/A N/A</v>
        <stp/>
        <stp>BDH|2409234214750755830</stp>
        <tr r="J10" s="3"/>
      </tp>
      <tp t="s">
        <v>#N/A N/A</v>
        <stp/>
        <stp>BDH|4021829631134432201</stp>
        <tr r="S19" s="2"/>
      </tp>
      <tp t="s">
        <v>#N/A N/A</v>
        <stp/>
        <stp>BDH|9795460474372307111</stp>
        <tr r="T72" s="3"/>
      </tp>
      <tp t="s">
        <v>#N/A N/A</v>
        <stp/>
        <stp>BDH|9385681109190414616</stp>
        <tr r="X69" s="3"/>
      </tp>
      <tp t="s">
        <v>#N/A N/A</v>
        <stp/>
        <stp>BDH|7640002257043175845</stp>
        <tr r="D29" s="4"/>
      </tp>
      <tp t="s">
        <v>#N/A N/A</v>
        <stp/>
        <stp>BDH|7269269895860278577</stp>
        <tr r="F16" s="2"/>
      </tp>
      <tp t="s">
        <v>#N/A N/A</v>
        <stp/>
        <stp>BDH|5583671667669501549</stp>
        <tr r="X53" s="3"/>
      </tp>
      <tp t="s">
        <v>#N/A N/A</v>
        <stp/>
        <stp>BDH|3509614337846255950</stp>
        <tr r="Z38" s="2"/>
      </tp>
      <tp t="s">
        <v>#N/A N/A</v>
        <stp/>
        <stp>BDH|6465173833915731837</stp>
        <tr r="U38" s="3"/>
      </tp>
      <tp t="s">
        <v>#N/A N/A</v>
        <stp/>
        <stp>BDH|4185114231449433610</stp>
        <tr r="G15" s="4"/>
      </tp>
      <tp t="s">
        <v>#N/A N/A</v>
        <stp/>
        <stp>BDH|9217438894599427453</stp>
        <tr r="X19" s="3"/>
      </tp>
      <tp t="s">
        <v>#N/A N/A</v>
        <stp/>
        <stp>BDH|4476289953468331284</stp>
        <tr r="R62" s="2"/>
      </tp>
      <tp t="s">
        <v>#N/A N/A</v>
        <stp/>
        <stp>BDH|2111894445855111283</stp>
        <tr r="J65" s="3"/>
      </tp>
      <tp t="s">
        <v>#N/A N/A</v>
        <stp/>
        <stp>BDH|6684302409899948534</stp>
        <tr r="F10" s="2"/>
      </tp>
      <tp t="s">
        <v>#N/A N/A</v>
        <stp/>
        <stp>BDH|8471767721650021461</stp>
        <tr r="Q55" s="3"/>
      </tp>
      <tp t="s">
        <v>#N/A N/A</v>
        <stp/>
        <stp>BDH|6103810671795469505</stp>
        <tr r="H38" s="2"/>
      </tp>
      <tp t="s">
        <v>#N/A N/A</v>
        <stp/>
        <stp>BDH|4442665515418498268</stp>
        <tr r="M13" s="2"/>
      </tp>
      <tp t="s">
        <v>#N/A N/A</v>
        <stp/>
        <stp>BDH|8004706922364123063</stp>
        <tr r="N63" s="4"/>
      </tp>
      <tp t="s">
        <v>#N/A N/A</v>
        <stp/>
        <stp>BDH|4588036282580712566</stp>
        <tr r="X45" s="4"/>
      </tp>
      <tp t="s">
        <v>#N/A N/A</v>
        <stp/>
        <stp>BDH|6477910611954965387</stp>
        <tr r="H12" s="4"/>
      </tp>
      <tp t="s">
        <v>#N/A N/A</v>
        <stp/>
        <stp>BDH|42235930132708779</stp>
        <tr r="U9" s="4"/>
      </tp>
      <tp t="s">
        <v>#N/A N/A</v>
        <stp/>
        <stp>BDH|41183708710604564</stp>
        <tr r="T25" s="3"/>
      </tp>
      <tp t="s">
        <v>#N/A N/A</v>
        <stp/>
        <stp>BDH|4231614658758072517</stp>
        <tr r="U61" s="2"/>
      </tp>
      <tp t="s">
        <v>#N/A N/A</v>
        <stp/>
        <stp>BDH|5695437028619116069</stp>
        <tr r="X43" s="3"/>
      </tp>
      <tp t="s">
        <v>#N/A N/A</v>
        <stp/>
        <stp>BDH|8504478904352584497</stp>
        <tr r="G46" s="4"/>
      </tp>
      <tp t="s">
        <v>#N/A N/A</v>
        <stp/>
        <stp>BDH|8879715212165762162</stp>
        <tr r="M72" s="2"/>
      </tp>
      <tp t="s">
        <v>#N/A N/A</v>
        <stp/>
        <stp>BDH|2226986638352080089</stp>
        <tr r="H21" s="3"/>
      </tp>
      <tp t="s">
        <v>#N/A N/A</v>
        <stp/>
        <stp>BDH|9500552842052089083</stp>
        <tr r="C26" s="4"/>
      </tp>
      <tp t="s">
        <v>#N/A N/A</v>
        <stp/>
        <stp>BDH|1503957121594913429</stp>
        <tr r="O92" s="3"/>
      </tp>
      <tp t="s">
        <v>#N/A N/A</v>
        <stp/>
        <stp>BDH|1939074304758583354</stp>
        <tr r="F88" s="3"/>
      </tp>
      <tp t="s">
        <v>#N/A N/A</v>
        <stp/>
        <stp>BDH|9343691956738567825</stp>
        <tr r="T90" s="3"/>
      </tp>
      <tp t="s">
        <v>#N/A N/A</v>
        <stp/>
        <stp>BDH|9209933184857968579</stp>
        <tr r="O44" s="4"/>
      </tp>
      <tp t="s">
        <v>#N/A N/A</v>
        <stp/>
        <stp>BDH|5873435934350429805</stp>
        <tr r="L33" s="3"/>
      </tp>
      <tp t="s">
        <v>#N/A N/A</v>
        <stp/>
        <stp>BDH|8982502345476212557</stp>
        <tr r="T60" s="4"/>
      </tp>
      <tp t="s">
        <v>#N/A N/A</v>
        <stp/>
        <stp>BDH|8444681671842025165</stp>
        <tr r="G91" s="3"/>
      </tp>
      <tp t="s">
        <v>#N/A N/A</v>
        <stp/>
        <stp>BDH|7513418372566465897</stp>
        <tr r="P69" s="2"/>
      </tp>
      <tp t="s">
        <v>#N/A N/A</v>
        <stp/>
        <stp>BDH|5040502128629873185</stp>
        <tr r="O51" s="2"/>
      </tp>
      <tp t="s">
        <v>#N/A N/A</v>
        <stp/>
        <stp>BDH|4772070254183937857</stp>
        <tr r="L30" s="4"/>
      </tp>
      <tp t="s">
        <v>#N/A N/A</v>
        <stp/>
        <stp>BDH|2163890275667667033</stp>
        <tr r="S62" s="3"/>
      </tp>
      <tp t="s">
        <v>#N/A N/A</v>
        <stp/>
        <stp>BDH|9267692872714251633</stp>
        <tr r="C34" s="3"/>
      </tp>
      <tp t="s">
        <v>#N/A N/A</v>
        <stp/>
        <stp>BDH|8612317360620649790</stp>
        <tr r="M30" s="2"/>
      </tp>
      <tp t="s">
        <v>#N/A N/A</v>
        <stp/>
        <stp>BDH|1967799649119526146</stp>
        <tr r="J91" s="3"/>
      </tp>
      <tp t="s">
        <v>#N/A N/A</v>
        <stp/>
        <stp>BDH|9152456428972346772</stp>
        <tr r="R33" s="4"/>
      </tp>
      <tp t="s">
        <v>#N/A N/A</v>
        <stp/>
        <stp>BDH|6911914201404689175</stp>
        <tr r="R44" s="4"/>
      </tp>
      <tp t="s">
        <v>#N/A N/A</v>
        <stp/>
        <stp>BDH|2099394551369961796</stp>
        <tr r="H54" s="2"/>
      </tp>
      <tp t="s">
        <v>#N/A N/A</v>
        <stp/>
        <stp>BDH|9254801112599192389</stp>
        <tr r="E84" s="3"/>
      </tp>
      <tp t="s">
        <v>#N/A N/A</v>
        <stp/>
        <stp>BDH|3889582432979350686</stp>
        <tr r="S56" s="3"/>
      </tp>
      <tp t="s">
        <v>#N/A N/A</v>
        <stp/>
        <stp>BDH|5319290989185854020</stp>
        <tr r="Y45" s="2"/>
      </tp>
      <tp t="s">
        <v>#N/A N/A</v>
        <stp/>
        <stp>BDH|2487924835814993638</stp>
        <tr r="N43" s="4"/>
      </tp>
      <tp t="s">
        <v>#N/A N/A</v>
        <stp/>
        <stp>BDH|9658362746506633297</stp>
        <tr r="U58" s="4"/>
      </tp>
      <tp t="s">
        <v>#N/A N/A</v>
        <stp/>
        <stp>BDH|1959054574854457857</stp>
        <tr r="V22" s="4"/>
      </tp>
      <tp t="s">
        <v>#N/A N/A</v>
        <stp/>
        <stp>BDH|9763458265659847866</stp>
        <tr r="J44" s="3"/>
      </tp>
      <tp t="s">
        <v>#N/A N/A</v>
        <stp/>
        <stp>BDH|5126251995727897300</stp>
        <tr r="I88" s="3"/>
      </tp>
      <tp t="s">
        <v>#N/A N/A</v>
        <stp/>
        <stp>BDH|7601053694516687281</stp>
        <tr r="T38" s="2"/>
      </tp>
      <tp t="s">
        <v>#N/A N/A</v>
        <stp/>
        <stp>BDH|9000294976771809793</stp>
        <tr r="E7" s="3"/>
      </tp>
      <tp t="s">
        <v>#N/A N/A</v>
        <stp/>
        <stp>BDH|2328892017091526066</stp>
        <tr r="R54" s="4"/>
      </tp>
      <tp t="s">
        <v>#N/A N/A</v>
        <stp/>
        <stp>BDH|8952233851542033759</stp>
        <tr r="D50" s="2"/>
      </tp>
      <tp t="s">
        <v>#N/A N/A</v>
        <stp/>
        <stp>BDH|7840187510924915970</stp>
        <tr r="G57" s="3"/>
      </tp>
      <tp t="s">
        <v>#N/A N/A</v>
        <stp/>
        <stp>BDH|8992446232186651370</stp>
        <tr r="X58" s="3"/>
      </tp>
      <tp t="s">
        <v>#N/A N/A</v>
        <stp/>
        <stp>BDH|5888072790197321123</stp>
        <tr r="Z88" s="3"/>
      </tp>
      <tp t="s">
        <v>#N/A N/A</v>
        <stp/>
        <stp>BDH|3578558972942425988</stp>
        <tr r="D37" s="4"/>
      </tp>
      <tp t="s">
        <v>#N/A N/A</v>
        <stp/>
        <stp>BDH|5180431386516985525</stp>
        <tr r="D31" s="2"/>
      </tp>
      <tp t="s">
        <v>#N/A N/A</v>
        <stp/>
        <stp>BDH|7971617224809061036</stp>
        <tr r="N66" s="4"/>
      </tp>
      <tp t="s">
        <v>#N/A N/A</v>
        <stp/>
        <stp>BDH|9004246238074190624</stp>
        <tr r="W10" s="4"/>
      </tp>
      <tp t="s">
        <v>#N/A N/A</v>
        <stp/>
        <stp>BDH|5764748448775750931</stp>
        <tr r="K56" s="2"/>
      </tp>
      <tp t="s">
        <v>#N/A N/A</v>
        <stp/>
        <stp>BDH|4138038434584896918</stp>
        <tr r="Q29" s="3"/>
      </tp>
      <tp t="s">
        <v>#N/A N/A</v>
        <stp/>
        <stp>BDH|9241080203115223675</stp>
        <tr r="V9" s="3"/>
      </tp>
      <tp t="s">
        <v>#N/A N/A</v>
        <stp/>
        <stp>BDH|3109780157899582261</stp>
        <tr r="G21" s="3"/>
      </tp>
      <tp t="s">
        <v>#N/A N/A</v>
        <stp/>
        <stp>BDH|9081490068919937852</stp>
        <tr r="Q27" s="2"/>
      </tp>
      <tp t="s">
        <v>#N/A N/A</v>
        <stp/>
        <stp>BDH|1864315904511212925</stp>
        <tr r="F57" s="2"/>
      </tp>
      <tp t="s">
        <v>#N/A N/A</v>
        <stp/>
        <stp>BDH|3040574394944937173</stp>
        <tr r="U25" s="3"/>
      </tp>
      <tp t="s">
        <v>#N/A N/A</v>
        <stp/>
        <stp>BDH|3797633337359900572</stp>
        <tr r="G35" s="3"/>
      </tp>
      <tp t="s">
        <v>#N/A N/A</v>
        <stp/>
        <stp>BDH|6323541787958882958</stp>
        <tr r="L17" s="4"/>
      </tp>
      <tp t="s">
        <v>#N/A N/A</v>
        <stp/>
        <stp>BDH|9893304073872469529</stp>
        <tr r="D68" s="3"/>
      </tp>
      <tp t="s">
        <v>#N/A N/A</v>
        <stp/>
        <stp>BDH|5477581229828981018</stp>
        <tr r="T54" s="4"/>
      </tp>
      <tp t="s">
        <v>#N/A N/A</v>
        <stp/>
        <stp>BDH|7721686443247719869</stp>
        <tr r="H33" s="2"/>
      </tp>
      <tp t="s">
        <v>#N/A N/A</v>
        <stp/>
        <stp>BDH|2535118171569368748</stp>
        <tr r="L37" s="4"/>
      </tp>
      <tp t="s">
        <v>#N/A N/A</v>
        <stp/>
        <stp>BDH|8266053669776500290</stp>
        <tr r="Z40" s="2"/>
      </tp>
      <tp t="s">
        <v>#N/A N/A</v>
        <stp/>
        <stp>BDH|8501980468109605413</stp>
        <tr r="F64" s="3"/>
      </tp>
      <tp t="s">
        <v>#N/A N/A</v>
        <stp/>
        <stp>BDH|6972992907364731120</stp>
        <tr r="O91" s="3"/>
      </tp>
      <tp t="s">
        <v>#N/A N/A</v>
        <stp/>
        <stp>BDH|9166845766328803597</stp>
        <tr r="J32" s="2"/>
      </tp>
      <tp t="s">
        <v>#N/A N/A</v>
        <stp/>
        <stp>BDH|5020289922457120897</stp>
        <tr r="K47" s="3"/>
      </tp>
      <tp t="s">
        <v>#N/A N/A</v>
        <stp/>
        <stp>BDH|8055063176964461167</stp>
        <tr r="G52" s="3"/>
      </tp>
      <tp t="s">
        <v>#N/A N/A</v>
        <stp/>
        <stp>BDH|7985407437862867850</stp>
        <tr r="M82" s="3"/>
      </tp>
      <tp t="s">
        <v>#N/A N/A</v>
        <stp/>
        <stp>BDH|5172095586410837755</stp>
        <tr r="F46" s="4"/>
      </tp>
      <tp t="s">
        <v>#N/A N/A</v>
        <stp/>
        <stp>BDH|4065431810399707277</stp>
        <tr r="O43" s="4"/>
      </tp>
      <tp t="s">
        <v>#N/A N/A</v>
        <stp/>
        <stp>BDH|8266117157952635419</stp>
        <tr r="V46" s="3"/>
      </tp>
      <tp t="s">
        <v>#N/A N/A</v>
        <stp/>
        <stp>BDH|5985849656233093188</stp>
        <tr r="Z83" s="3"/>
      </tp>
      <tp t="s">
        <v>#N/A N/A</v>
        <stp/>
        <stp>BDH|1017315101678104027</stp>
        <tr r="X40" s="4"/>
      </tp>
      <tp t="s">
        <v>#N/A N/A</v>
        <stp/>
        <stp>BDH|7723517854685044812</stp>
        <tr r="Z55" s="3"/>
      </tp>
      <tp t="s">
        <v>#N/A N/A</v>
        <stp/>
        <stp>BDH|8959483750796146532</stp>
        <tr r="U70" s="2"/>
      </tp>
      <tp t="s">
        <v>#N/A N/A</v>
        <stp/>
        <stp>BDH|8714703017065239118</stp>
        <tr r="W78" s="3"/>
      </tp>
      <tp t="s">
        <v>#N/A N/A</v>
        <stp/>
        <stp>BDH|2017693279829367004</stp>
        <tr r="G60" s="3"/>
      </tp>
      <tp t="s">
        <v>#N/A N/A</v>
        <stp/>
        <stp>BDH|3133704732754321939</stp>
        <tr r="E72" s="3"/>
      </tp>
      <tp t="s">
        <v>#N/A N/A</v>
        <stp/>
        <stp>BDH|4589879241785363705</stp>
        <tr r="G23" s="2"/>
      </tp>
      <tp t="s">
        <v>#N/A N/A</v>
        <stp/>
        <stp>BDH|1595658670232930894</stp>
        <tr r="D67" s="3"/>
      </tp>
      <tp t="s">
        <v>#N/A N/A</v>
        <stp/>
        <stp>BDH|9174233076563098540</stp>
        <tr r="G9" s="4"/>
      </tp>
      <tp t="s">
        <v>#N/A N/A</v>
        <stp/>
        <stp>BDH|1342351989128790881</stp>
        <tr r="G70" s="2"/>
      </tp>
      <tp t="s">
        <v>#N/A N/A</v>
        <stp/>
        <stp>BDH|3216697889994768356</stp>
        <tr r="P10" s="2"/>
      </tp>
      <tp t="s">
        <v>#N/A N/A</v>
        <stp/>
        <stp>BDH|5151115130898051502</stp>
        <tr r="D18" s="4"/>
      </tp>
      <tp t="s">
        <v>#N/A N/A</v>
        <stp/>
        <stp>BDH|3351282414602990879</stp>
        <tr r="P61" s="2"/>
      </tp>
      <tp t="s">
        <v>#N/A N/A</v>
        <stp/>
        <stp>BDH|6152514011051312934</stp>
        <tr r="R38" s="2"/>
      </tp>
      <tp t="s">
        <v>#N/A N/A</v>
        <stp/>
        <stp>BDH|6979072386677014396</stp>
        <tr r="W58" s="4"/>
      </tp>
      <tp t="s">
        <v>#N/A N/A</v>
        <stp/>
        <stp>BDH|6496419117778724142</stp>
        <tr r="O29" s="3"/>
      </tp>
      <tp t="s">
        <v>#N/A N/A</v>
        <stp/>
        <stp>BDH|4367557825318516174</stp>
        <tr r="G29" s="2"/>
      </tp>
      <tp t="s">
        <v>#N/A N/A</v>
        <stp/>
        <stp>BDH|4414148901806358932</stp>
        <tr r="I27" s="3"/>
      </tp>
      <tp t="s">
        <v>#N/A N/A</v>
        <stp/>
        <stp>BDH|7355874159260527098</stp>
        <tr r="W94" s="3"/>
      </tp>
      <tp t="s">
        <v>#N/A N/A</v>
        <stp/>
        <stp>BDH|7297449607811352835</stp>
        <tr r="C39" s="3"/>
      </tp>
      <tp t="s">
        <v>#N/A N/A</v>
        <stp/>
        <stp>BDH|8247978046516266903</stp>
        <tr r="P76" s="3"/>
      </tp>
      <tp t="s">
        <v>#N/A N/A</v>
        <stp/>
        <stp>BDH|9819011000547982413</stp>
        <tr r="Z38" s="3"/>
      </tp>
      <tp t="s">
        <v>#N/A N/A</v>
        <stp/>
        <stp>BDH|6713439773026198900</stp>
        <tr r="M64" s="4"/>
      </tp>
      <tp t="s">
        <v>#N/A N/A</v>
        <stp/>
        <stp>BDH|2721201358657000895</stp>
        <tr r="P63" s="2"/>
      </tp>
      <tp t="s">
        <v>#N/A N/A</v>
        <stp/>
        <stp>BDH|8217329730265736719</stp>
        <tr r="V67" s="2"/>
      </tp>
      <tp t="s">
        <v>#N/A N/A</v>
        <stp/>
        <stp>BDH|4166485098331719201</stp>
        <tr r="Y41" s="2"/>
      </tp>
      <tp t="s">
        <v>#N/A N/A</v>
        <stp/>
        <stp>BDH|9809108927927963704</stp>
        <tr r="V44" s="3"/>
      </tp>
      <tp t="s">
        <v>#N/A N/A</v>
        <stp/>
        <stp>BDH|3856580871202636916</stp>
        <tr r="I83" s="3"/>
      </tp>
      <tp t="s">
        <v>#N/A N/A</v>
        <stp/>
        <stp>BDH|3122888409849717815</stp>
        <tr r="T12" s="3"/>
      </tp>
      <tp t="s">
        <v>#N/A N/A</v>
        <stp/>
        <stp>BDH|4209394631776566893</stp>
        <tr r="I45" s="3"/>
      </tp>
      <tp t="s">
        <v>#N/A N/A</v>
        <stp/>
        <stp>BDH|6317955474791343366</stp>
        <tr r="D25" s="3"/>
      </tp>
      <tp t="s">
        <v>#N/A N/A</v>
        <stp/>
        <stp>BDH|3319818200241209078</stp>
        <tr r="T57" s="3"/>
      </tp>
      <tp t="s">
        <v>#N/A N/A</v>
        <stp/>
        <stp>BDH|9431009250083304509</stp>
        <tr r="J62" s="4"/>
      </tp>
      <tp t="s">
        <v>#N/A N/A</v>
        <stp/>
        <stp>BDH|6128186059791752904</stp>
        <tr r="E12" s="2"/>
      </tp>
      <tp t="s">
        <v>#N/A N/A</v>
        <stp/>
        <stp>BDH|2181048091299611856</stp>
        <tr r="R61" s="3"/>
      </tp>
      <tp t="s">
        <v>#N/A N/A</v>
        <stp/>
        <stp>BDH|2312171102000953981</stp>
        <tr r="Z8" s="3"/>
      </tp>
      <tp t="s">
        <v>#N/A N/A</v>
        <stp/>
        <stp>BDH|6378403360517142953</stp>
        <tr r="N37" s="4"/>
      </tp>
      <tp t="s">
        <v>#N/A N/A</v>
        <stp/>
        <stp>BDH|3403922247586094267</stp>
        <tr r="M7" s="3"/>
      </tp>
      <tp t="s">
        <v>#N/A N/A</v>
        <stp/>
        <stp>BDH|5874496326368490146</stp>
        <tr r="D52" s="3"/>
      </tp>
      <tp t="s">
        <v>#N/A N/A</v>
        <stp/>
        <stp>BDH|2324915647961158434</stp>
        <tr r="V7" s="4"/>
      </tp>
      <tp t="s">
        <v>#N/A N/A</v>
        <stp/>
        <stp>BDH|8624308756135605115</stp>
        <tr r="Y9" s="2"/>
      </tp>
      <tp t="s">
        <v>#N/A N/A</v>
        <stp/>
        <stp>BDH|9451007074080228465</stp>
        <tr r="N18" s="2"/>
      </tp>
      <tp t="s">
        <v>#N/A N/A</v>
        <stp/>
        <stp>BDH|5822181236695140839</stp>
        <tr r="H33" s="4"/>
      </tp>
      <tp t="s">
        <v>#N/A N/A</v>
        <stp/>
        <stp>BDH|5298608280253591230</stp>
        <tr r="Z60" s="3"/>
      </tp>
      <tp t="s">
        <v>#N/A N/A</v>
        <stp/>
        <stp>BDH|1178948555584064341</stp>
        <tr r="M39" s="2"/>
      </tp>
      <tp t="s">
        <v>#N/A N/A</v>
        <stp/>
        <stp>BDH|7458777674744196921</stp>
        <tr r="R67" s="2"/>
      </tp>
      <tp t="s">
        <v>#N/A N/A</v>
        <stp/>
        <stp>BDH|2539810137257288455</stp>
        <tr r="Y65" s="3"/>
      </tp>
      <tp t="s">
        <v>#N/A N/A</v>
        <stp/>
        <stp>BDH|3500931956684607136</stp>
        <tr r="J30" s="3"/>
      </tp>
      <tp t="s">
        <v>#N/A N/A</v>
        <stp/>
        <stp>BDH|1870695393373759705</stp>
        <tr r="V62" s="3"/>
      </tp>
      <tp t="s">
        <v>#N/A N/A</v>
        <stp/>
        <stp>BDH|3353532134607652874</stp>
        <tr r="L21" s="4"/>
      </tp>
      <tp t="s">
        <v>#N/A N/A</v>
        <stp/>
        <stp>BDH|5445982128037945382</stp>
        <tr r="U32" s="3"/>
      </tp>
      <tp t="s">
        <v>#N/A N/A</v>
        <stp/>
        <stp>BDH|1246114099444806770</stp>
        <tr r="R73" s="3"/>
      </tp>
      <tp t="s">
        <v>#N/A N/A</v>
        <stp/>
        <stp>BDH|4314316812108068454</stp>
        <tr r="W52" s="3"/>
      </tp>
      <tp t="s">
        <v>#N/A N/A</v>
        <stp/>
        <stp>BDH|5805240981092861702</stp>
        <tr r="D63" s="2"/>
      </tp>
      <tp t="s">
        <v>#N/A N/A</v>
        <stp/>
        <stp>BDH|7300108378373894865</stp>
        <tr r="X75" s="3"/>
      </tp>
      <tp t="s">
        <v>#N/A N/A</v>
        <stp/>
        <stp>BDH|8185601651526621734</stp>
        <tr r="R24" s="4"/>
      </tp>
      <tp t="s">
        <v>#N/A N/A</v>
        <stp/>
        <stp>BDH|4505428743588139604</stp>
        <tr r="E16" s="2"/>
      </tp>
      <tp t="s">
        <v>#N/A N/A</v>
        <stp/>
        <stp>BDH|9817695607600469578</stp>
        <tr r="P47" s="3"/>
      </tp>
      <tp t="s">
        <v>#N/A N/A</v>
        <stp/>
        <stp>BDH|8455776574291062328</stp>
        <tr r="Z8" s="2"/>
      </tp>
      <tp t="s">
        <v>#N/A N/A</v>
        <stp/>
        <stp>BDH|36744147102505643</stp>
        <tr r="D13" s="2"/>
      </tp>
      <tp t="s">
        <v>#N/A N/A</v>
        <stp/>
        <stp>BDH|5898830871307167618</stp>
        <tr r="X29" s="2"/>
      </tp>
      <tp t="s">
        <v>#N/A N/A</v>
        <stp/>
        <stp>BDH|3433999220071352243</stp>
        <tr r="E17" s="4"/>
      </tp>
      <tp t="s">
        <v>#N/A N/A</v>
        <stp/>
        <stp>BDH|7480601617679894207</stp>
        <tr r="D44" s="3"/>
      </tp>
      <tp t="s">
        <v>#N/A N/A</v>
        <stp/>
        <stp>BDH|2021757141572727880</stp>
        <tr r="V35" s="4"/>
      </tp>
      <tp t="s">
        <v>#N/A N/A</v>
        <stp/>
        <stp>BDH|1828014798966902539</stp>
        <tr r="R25" s="3"/>
      </tp>
      <tp t="s">
        <v>#N/A N/A</v>
        <stp/>
        <stp>BDH|7865809570553799049</stp>
        <tr r="O19" s="3"/>
      </tp>
      <tp t="s">
        <v>#N/A N/A</v>
        <stp/>
        <stp>BDH|3035199765628474737</stp>
        <tr r="M41" s="3"/>
      </tp>
      <tp t="s">
        <v>#N/A N/A</v>
        <stp/>
        <stp>BDH|3899808168416390080</stp>
        <tr r="Z11" s="4"/>
      </tp>
      <tp t="s">
        <v>#N/A N/A</v>
        <stp/>
        <stp>BDH|7038133582076994337</stp>
        <tr r="F32" s="3"/>
      </tp>
      <tp t="s">
        <v>#N/A N/A</v>
        <stp/>
        <stp>BDH|2992256477198046404</stp>
        <tr r="Q42" s="4"/>
      </tp>
      <tp t="s">
        <v>#N/A N/A</v>
        <stp/>
        <stp>BDH|5178375819094606812</stp>
        <tr r="O19" s="2"/>
      </tp>
      <tp t="s">
        <v>#N/A N/A</v>
        <stp/>
        <stp>BDH|9285088220138050827</stp>
        <tr r="N58" s="4"/>
      </tp>
      <tp t="s">
        <v>#N/A N/A</v>
        <stp/>
        <stp>BDH|8856232143010967594</stp>
        <tr r="P49" s="2"/>
      </tp>
      <tp t="s">
        <v>#N/A N/A</v>
        <stp/>
        <stp>BDH|9404264617828528987</stp>
        <tr r="F23" s="4"/>
      </tp>
      <tp t="s">
        <v>#N/A N/A</v>
        <stp/>
        <stp>BDH|6350301939394690945</stp>
        <tr r="O62" s="3"/>
      </tp>
      <tp t="s">
        <v>#N/A N/A</v>
        <stp/>
        <stp>BDH|7219095687840701431</stp>
        <tr r="W86" s="3"/>
      </tp>
      <tp t="s">
        <v>#N/A N/A</v>
        <stp/>
        <stp>BDH|5091954509751563613</stp>
        <tr r="O88" s="3"/>
      </tp>
      <tp t="s">
        <v>#N/A N/A</v>
        <stp/>
        <stp>BDH|9041029104331611380</stp>
        <tr r="U28" s="2"/>
      </tp>
      <tp t="s">
        <v>#N/A N/A</v>
        <stp/>
        <stp>BDH|1925908521011625079</stp>
        <tr r="D60" s="3"/>
      </tp>
      <tp t="s">
        <v>#N/A N/A</v>
        <stp/>
        <stp>BDH|3452426080776975266</stp>
        <tr r="C11" s="2"/>
      </tp>
      <tp t="s">
        <v>#N/A N/A</v>
        <stp/>
        <stp>BDH|7286890855117077677</stp>
        <tr r="G38" s="2"/>
      </tp>
      <tp t="s">
        <v>#N/A N/A</v>
        <stp/>
        <stp>BDH|4662234997694924028</stp>
        <tr r="T51" s="3"/>
      </tp>
      <tp t="s">
        <v>#N/A N/A</v>
        <stp/>
        <stp>BDH|2847507735136674954</stp>
        <tr r="H78" s="3"/>
      </tp>
      <tp t="s">
        <v>#N/A N/A</v>
        <stp/>
        <stp>BDH|9657062779101169461</stp>
        <tr r="Y77" s="3"/>
      </tp>
      <tp t="s">
        <v>#N/A N/A</v>
        <stp/>
        <stp>BDH|5730851524361849507</stp>
        <tr r="I76" s="3"/>
      </tp>
      <tp t="s">
        <v>#N/A N/A</v>
        <stp/>
        <stp>BDH|8782424366950851154</stp>
        <tr r="K53" s="3"/>
      </tp>
      <tp t="s">
        <v>#N/A N/A</v>
        <stp/>
        <stp>BDH|8819713372616552509</stp>
        <tr r="F7" s="2"/>
      </tp>
      <tp t="s">
        <v>#N/A N/A</v>
        <stp/>
        <stp>BDH|6618530538613448879</stp>
        <tr r="I25" s="2"/>
      </tp>
      <tp t="s">
        <v>#N/A N/A</v>
        <stp/>
        <stp>BDH|1386951859343635574</stp>
        <tr r="F19" s="2"/>
      </tp>
      <tp t="s">
        <v>#N/A N/A</v>
        <stp/>
        <stp>BDH|8750798672080201302</stp>
        <tr r="F29" s="4"/>
      </tp>
      <tp t="s">
        <v>#N/A N/A</v>
        <stp/>
        <stp>BDH|8275888372744412827</stp>
        <tr r="X22" s="4"/>
      </tp>
      <tp t="s">
        <v>#N/A N/A</v>
        <stp/>
        <stp>BDH|3495732884956866145</stp>
        <tr r="I20" s="2"/>
      </tp>
      <tp t="s">
        <v>#N/A N/A</v>
        <stp/>
        <stp>BDH|1273697745928194000</stp>
        <tr r="W45" s="4"/>
      </tp>
      <tp t="s">
        <v>#N/A N/A</v>
        <stp/>
        <stp>BDH|4001857936131420580</stp>
        <tr r="D27" s="2"/>
      </tp>
      <tp t="s">
        <v>#N/A N/A</v>
        <stp/>
        <stp>BDH|4951353478758929324</stp>
        <tr r="V13" s="4"/>
      </tp>
      <tp t="s">
        <v>#N/A N/A</v>
        <stp/>
        <stp>BDH|8501457035227922331</stp>
        <tr r="W32" s="2"/>
      </tp>
      <tp t="s">
        <v>#N/A N/A</v>
        <stp/>
        <stp>BDH|5984696998877353645</stp>
        <tr r="E36" s="2"/>
      </tp>
      <tp t="s">
        <v>#N/A N/A</v>
        <stp/>
        <stp>BDH|6804524892110486130</stp>
        <tr r="N72" s="3"/>
      </tp>
      <tp t="s">
        <v>#N/A N/A</v>
        <stp/>
        <stp>BDH|1346887934961829084</stp>
        <tr r="V8" s="3"/>
      </tp>
      <tp t="s">
        <v>#N/A N/A</v>
        <stp/>
        <stp>BDH|6574187021817026936</stp>
        <tr r="D64" s="4"/>
      </tp>
      <tp t="s">
        <v>#N/A N/A</v>
        <stp/>
        <stp>BDH|9987683705216906226</stp>
        <tr r="P22" s="2"/>
      </tp>
      <tp t="s">
        <v>#N/A N/A</v>
        <stp/>
        <stp>BDH|6064991944544316420</stp>
        <tr r="R67" s="3"/>
      </tp>
      <tp t="s">
        <v>#N/A N/A</v>
        <stp/>
        <stp>BDH|1801844512774336718</stp>
        <tr r="G56" s="3"/>
      </tp>
      <tp t="s">
        <v>#N/A N/A</v>
        <stp/>
        <stp>BDH|8438729996335820843</stp>
        <tr r="G11" s="3"/>
      </tp>
      <tp t="s">
        <v>#N/A N/A</v>
        <stp/>
        <stp>BDH|8359605427376957106</stp>
        <tr r="P10" s="3"/>
      </tp>
      <tp t="s">
        <v>#N/A N/A</v>
        <stp/>
        <stp>BDH|2206331952236741992</stp>
        <tr r="E49" s="3"/>
      </tp>
      <tp t="s">
        <v>#N/A N/A</v>
        <stp/>
        <stp>BDH|2943201316262539873</stp>
        <tr r="C39" s="2"/>
      </tp>
      <tp t="s">
        <v>#N/A N/A</v>
        <stp/>
        <stp>BDH|1757998732779055916</stp>
        <tr r="R23" s="4"/>
      </tp>
      <tp t="s">
        <v>#N/A N/A</v>
        <stp/>
        <stp>BDH|1794100667265859855</stp>
        <tr r="J7" s="2"/>
      </tp>
      <tp t="s">
        <v>#N/A N/A</v>
        <stp/>
        <stp>BDH|4861661398226130656</stp>
        <tr r="Z43" s="3"/>
      </tp>
      <tp t="s">
        <v>#N/A N/A</v>
        <stp/>
        <stp>BDH|9203938356279093750</stp>
        <tr r="J26" s="2"/>
      </tp>
      <tp t="s">
        <v>#N/A N/A</v>
        <stp/>
        <stp>BDH|1226515317518049662</stp>
        <tr r="V57" s="3"/>
      </tp>
      <tp t="s">
        <v>#N/A N/A</v>
        <stp/>
        <stp>BDH|9439705873546464413</stp>
        <tr r="T29" s="3"/>
      </tp>
      <tp t="s">
        <v>#N/A N/A</v>
        <stp/>
        <stp>BDH|2743894565246981103</stp>
        <tr r="G62" s="2"/>
      </tp>
      <tp t="s">
        <v>#N/A N/A</v>
        <stp/>
        <stp>BDH|7605363199976844035</stp>
        <tr r="M62" s="4"/>
      </tp>
      <tp t="s">
        <v>#N/A N/A</v>
        <stp/>
        <stp>BDH|3295635393967791077</stp>
        <tr r="E26" s="3"/>
      </tp>
      <tp t="s">
        <v>#N/A N/A</v>
        <stp/>
        <stp>BDH|8970037929916920780</stp>
        <tr r="V39" s="2"/>
      </tp>
      <tp t="s">
        <v>#N/A N/A</v>
        <stp/>
        <stp>BDH|1596502095633737554</stp>
        <tr r="D55" s="3"/>
      </tp>
      <tp t="s">
        <v>#N/A N/A</v>
        <stp/>
        <stp>BDH|9499094939310167175</stp>
        <tr r="E16" s="3"/>
      </tp>
      <tp t="s">
        <v>#N/A N/A</v>
        <stp/>
        <stp>BDH|3061219384592118066</stp>
        <tr r="S28" s="3"/>
      </tp>
      <tp t="s">
        <v>#N/A N/A</v>
        <stp/>
        <stp>BDH|8284593134047478293</stp>
        <tr r="P52" s="4"/>
      </tp>
      <tp t="s">
        <v>#N/A N/A</v>
        <stp/>
        <stp>BDH|8725449054397523518</stp>
        <tr r="U45" s="4"/>
      </tp>
      <tp t="s">
        <v>#N/A N/A</v>
        <stp/>
        <stp>BDH|2717759947182745814</stp>
        <tr r="I94" s="3"/>
      </tp>
      <tp t="s">
        <v>#N/A N/A</v>
        <stp/>
        <stp>BDH|7130959064101019233</stp>
        <tr r="K34" s="3"/>
      </tp>
      <tp t="s">
        <v>#N/A N/A</v>
        <stp/>
        <stp>BDH|1630447751838018305</stp>
        <tr r="L92" s="3"/>
      </tp>
      <tp t="s">
        <v>#N/A N/A</v>
        <stp/>
        <stp>BDH|1065313733543799965</stp>
        <tr r="F45" s="2"/>
      </tp>
      <tp t="s">
        <v>#N/A N/A</v>
        <stp/>
        <stp>BDH|1685055480460678261</stp>
        <tr r="Y58" s="4"/>
      </tp>
      <tp t="s">
        <v>#N/A N/A</v>
        <stp/>
        <stp>BDH|9396343807903666264</stp>
        <tr r="W8" s="3"/>
      </tp>
      <tp t="s">
        <v>#N/A N/A</v>
        <stp/>
        <stp>BDH|7381500578999940725</stp>
        <tr r="L62" s="4"/>
      </tp>
      <tp t="s">
        <v>#N/A N/A</v>
        <stp/>
        <stp>BDH|7199384883782889520</stp>
        <tr r="W40" s="3"/>
      </tp>
      <tp t="s">
        <v>#N/A N/A</v>
        <stp/>
        <stp>BDH|5622901811396315044</stp>
        <tr r="D38" s="3"/>
      </tp>
      <tp t="s">
        <v>#N/A N/A</v>
        <stp/>
        <stp>BDH|3318310593895559749</stp>
        <tr r="O39" s="3"/>
      </tp>
      <tp t="s">
        <v>#N/A N/A</v>
        <stp/>
        <stp>BDH|4688798349728330452</stp>
        <tr r="X7" s="4"/>
      </tp>
      <tp t="s">
        <v>#N/A N/A</v>
        <stp/>
        <stp>BDH|1639869307296602411</stp>
        <tr r="H71" s="3"/>
      </tp>
      <tp t="s">
        <v>#N/A N/A</v>
        <stp/>
        <stp>BDH|4200649581473343241</stp>
        <tr r="Y78" s="3"/>
      </tp>
      <tp t="s">
        <v>#N/A N/A</v>
        <stp/>
        <stp>BDH|2579155374156090945</stp>
        <tr r="W11" s="3"/>
      </tp>
      <tp t="s">
        <v>#N/A N/A</v>
        <stp/>
        <stp>BDH|4977782398049090892</stp>
        <tr r="R23" s="2"/>
      </tp>
      <tp t="s">
        <v>#N/A N/A</v>
        <stp/>
        <stp>BDH|7726440758988970522</stp>
        <tr r="G45" s="4"/>
      </tp>
      <tp t="s">
        <v>#N/A N/A</v>
        <stp/>
        <stp>BDH|4650574086627170571</stp>
        <tr r="R39" s="3"/>
      </tp>
      <tp t="s">
        <v>#N/A N/A</v>
        <stp/>
        <stp>BDH|4768087162880983952</stp>
        <tr r="M23" s="3"/>
      </tp>
      <tp t="s">
        <v>#N/A N/A</v>
        <stp/>
        <stp>BDH|8485051362625490063</stp>
        <tr r="U8" s="2"/>
      </tp>
      <tp t="s">
        <v>#N/A N/A</v>
        <stp/>
        <stp>BDH|3168084114569521092</stp>
        <tr r="D34" s="4"/>
      </tp>
      <tp t="s">
        <v>#N/A N/A</v>
        <stp/>
        <stp>BDH|1172723233067779964</stp>
        <tr r="J51" s="2"/>
      </tp>
      <tp t="s">
        <v>#N/A N/A</v>
        <stp/>
        <stp>BDH|7189920567117366464</stp>
        <tr r="H64" s="3"/>
      </tp>
      <tp t="s">
        <v>#N/A N/A</v>
        <stp/>
        <stp>BDH|4486722005628254006</stp>
        <tr r="E35" s="2"/>
        <tr r="E47" s="2"/>
      </tp>
      <tp t="s">
        <v>#N/A N/A</v>
        <stp/>
        <stp>BDH|9582854589133815103</stp>
        <tr r="L83" s="3"/>
      </tp>
      <tp t="s">
        <v>#N/A N/A</v>
        <stp/>
        <stp>BDH|5069723233289352342</stp>
        <tr r="V70" s="3"/>
      </tp>
      <tp t="s">
        <v>#N/A N/A</v>
        <stp/>
        <stp>BDH|1098107695872504065</stp>
        <tr r="N16" s="3"/>
      </tp>
      <tp t="s">
        <v>#N/A N/A</v>
        <stp/>
        <stp>BDH|7903284408309974762</stp>
        <tr r="S33" s="4"/>
      </tp>
      <tp t="s">
        <v>#N/A N/A</v>
        <stp/>
        <stp>BDH|8776003902531419275</stp>
        <tr r="Z11" s="3"/>
      </tp>
      <tp t="s">
        <v>#N/A N/A</v>
        <stp/>
        <stp>BDH|2218842243835096037</stp>
        <tr r="Q77" s="3"/>
      </tp>
      <tp t="s">
        <v>#N/A N/A</v>
        <stp/>
        <stp>BDH|4929734103581624995</stp>
        <tr r="W26" s="4"/>
      </tp>
      <tp t="s">
        <v>#N/A N/A</v>
        <stp/>
        <stp>BDH|5834562482957888424</stp>
        <tr r="Y90" s="3"/>
      </tp>
      <tp t="s">
        <v>#N/A N/A</v>
        <stp/>
        <stp>BDH|9379753625147040055</stp>
        <tr r="E17" s="2"/>
      </tp>
      <tp t="s">
        <v>#N/A N/A</v>
        <stp/>
        <stp>BDH|5707803696488037778</stp>
        <tr r="M18" s="4"/>
      </tp>
      <tp t="s">
        <v>#N/A N/A</v>
        <stp/>
        <stp>BDH|8071403712454466208</stp>
        <tr r="F61" s="2"/>
      </tp>
      <tp t="s">
        <v>#N/A N/A</v>
        <stp/>
        <stp>BDH|5764525150207137933</stp>
        <tr r="G68" s="3"/>
      </tp>
      <tp t="s">
        <v>#N/A N/A</v>
        <stp/>
        <stp>BDH|2738851256066069234</stp>
        <tr r="P65" s="4"/>
      </tp>
      <tp t="s">
        <v>#N/A N/A</v>
        <stp/>
        <stp>BDH|6646236184833507439</stp>
        <tr r="Q22" s="3"/>
      </tp>
      <tp t="s">
        <v>#N/A N/A</v>
        <stp/>
        <stp>BDH|9004600557291955095</stp>
        <tr r="U43" s="4"/>
      </tp>
      <tp t="s">
        <v>#N/A N/A</v>
        <stp/>
        <stp>BDH|8598944636279197014</stp>
        <tr r="I19" s="2"/>
      </tp>
      <tp t="s">
        <v>#N/A N/A</v>
        <stp/>
        <stp>BDH|9167003913717479411</stp>
        <tr r="I43" s="3"/>
      </tp>
      <tp t="s">
        <v>#N/A N/A</v>
        <stp/>
        <stp>BDH|8153678645228312977</stp>
        <tr r="L28" s="3"/>
      </tp>
      <tp t="s">
        <v>#N/A N/A</v>
        <stp/>
        <stp>BDH|5238969877013265367</stp>
        <tr r="M15" s="2"/>
      </tp>
      <tp t="s">
        <v>#N/A N/A</v>
        <stp/>
        <stp>BDH|4613282351410947818</stp>
        <tr r="C30" s="3"/>
      </tp>
      <tp t="s">
        <v>#N/A N/A</v>
        <stp/>
        <stp>BDH|8474958052309005647</stp>
        <tr r="I17" s="4"/>
      </tp>
      <tp t="s">
        <v>#N/A N/A</v>
        <stp/>
        <stp>BDH|4137360362682292807</stp>
        <tr r="T94" s="3"/>
      </tp>
      <tp t="s">
        <v>#N/A N/A</v>
        <stp/>
        <stp>BDH|9786018304076296449</stp>
        <tr r="M68" s="3"/>
      </tp>
      <tp t="s">
        <v>#N/A N/A</v>
        <stp/>
        <stp>BDH|9157474741435628757</stp>
        <tr r="H11" s="3"/>
      </tp>
      <tp t="s">
        <v>#N/A N/A</v>
        <stp/>
        <stp>BDH|2440873720226222555</stp>
        <tr r="F14" s="3"/>
      </tp>
      <tp t="s">
        <v>#N/A N/A</v>
        <stp/>
        <stp>BDH|6184302781602199457</stp>
        <tr r="W37" s="2"/>
      </tp>
      <tp t="s">
        <v>#N/A N/A</v>
        <stp/>
        <stp>BDH|8293712481848161472</stp>
        <tr r="S17" s="4"/>
      </tp>
      <tp t="s">
        <v>#N/A N/A</v>
        <stp/>
        <stp>BDH|2281903352280468507</stp>
        <tr r="P24" s="3"/>
      </tp>
      <tp t="s">
        <v>#N/A N/A</v>
        <stp/>
        <stp>BDH|7582093515384956947</stp>
        <tr r="Z6" s="2"/>
      </tp>
      <tp t="s">
        <v>#N/A N/A</v>
        <stp/>
        <stp>BDH|3250770265241618836</stp>
        <tr r="K9" s="2"/>
      </tp>
      <tp t="s">
        <v>#N/A N/A</v>
        <stp/>
        <stp>BDH|6191917227753441568</stp>
        <tr r="D94" s="3"/>
      </tp>
      <tp t="s">
        <v>#N/A N/A</v>
        <stp/>
        <stp>BDH|7121979422970675771</stp>
        <tr r="Q25" s="4"/>
      </tp>
      <tp t="s">
        <v>#N/A N/A</v>
        <stp/>
        <stp>BDH|1300304621018066376</stp>
        <tr r="X73" s="3"/>
      </tp>
      <tp t="s">
        <v>#N/A N/A</v>
        <stp/>
        <stp>BDH|1737857567366118210</stp>
        <tr r="F64" s="4"/>
      </tp>
      <tp t="s">
        <v>#N/A N/A</v>
        <stp/>
        <stp>BDH|9273619700771760516</stp>
        <tr r="W15" s="2"/>
      </tp>
      <tp t="s">
        <v>#N/A N/A</v>
        <stp/>
        <stp>BDH|3945923269732281552</stp>
        <tr r="S45" s="3"/>
      </tp>
      <tp t="s">
        <v>#N/A N/A</v>
        <stp/>
        <stp>BDH|7318346945938537323</stp>
        <tr r="S11" s="4"/>
      </tp>
      <tp t="s">
        <v>#N/A N/A</v>
        <stp/>
        <stp>BDH|15209467941981394</stp>
        <tr r="E20" s="2"/>
      </tp>
      <tp t="s">
        <v>#N/A N/A</v>
        <stp/>
        <stp>BDH|80402046511290742</stp>
        <tr r="K33" s="2"/>
      </tp>
      <tp t="s">
        <v>#N/A N/A</v>
        <stp/>
        <stp>BDH|15885673660598949</stp>
        <tr r="I51" s="2"/>
      </tp>
      <tp t="s">
        <v>#N/A N/A</v>
        <stp/>
        <stp>BDH|18835538814774950</stp>
        <tr r="I15" s="3"/>
      </tp>
      <tp t="s">
        <v>#N/A N/A</v>
        <stp/>
        <stp>BDH|2445956093185190399</stp>
        <tr r="C24" s="4"/>
      </tp>
      <tp t="s">
        <v>#N/A N/A</v>
        <stp/>
        <stp>BDH|5978897648459749455</stp>
        <tr r="P55" s="2"/>
      </tp>
      <tp t="s">
        <v>#N/A N/A</v>
        <stp/>
        <stp>BDH|6245214418228452953</stp>
        <tr r="M19" s="3"/>
      </tp>
      <tp t="s">
        <v>#N/A N/A</v>
        <stp/>
        <stp>BDH|3813022786786517931</stp>
        <tr r="Z40" s="4"/>
      </tp>
      <tp t="s">
        <v>#N/A N/A</v>
        <stp/>
        <stp>BDH|2626641258346658362</stp>
        <tr r="R15" s="2"/>
      </tp>
      <tp t="s">
        <v>#N/A N/A</v>
        <stp/>
        <stp>BDH|4833585657834861450</stp>
        <tr r="K34" s="4"/>
      </tp>
      <tp t="s">
        <v>#N/A N/A</v>
        <stp/>
        <stp>BDH|7254037939516290604</stp>
        <tr r="G58" s="4"/>
      </tp>
      <tp t="s">
        <v>#N/A N/A</v>
        <stp/>
        <stp>BDH|2167451346786929000</stp>
        <tr r="R14" s="2"/>
      </tp>
      <tp t="s">
        <v>#N/A N/A</v>
        <stp/>
        <stp>BDH|1768194482108504425</stp>
        <tr r="N87" s="3"/>
      </tp>
      <tp t="s">
        <v>#N/A N/A</v>
        <stp/>
        <stp>BDH|1518635824850151182</stp>
        <tr r="Z15" s="3"/>
      </tp>
      <tp t="s">
        <v>#N/A N/A</v>
        <stp/>
        <stp>BDH|5205801177948746697</stp>
        <tr r="X65" s="3"/>
      </tp>
      <tp t="s">
        <v>#N/A N/A</v>
        <stp/>
        <stp>BDH|4620972528879164230</stp>
        <tr r="I10" s="3"/>
      </tp>
      <tp t="s">
        <v>#N/A N/A</v>
        <stp/>
        <stp>BDH|5490244907334935753</stp>
        <tr r="E57" s="2"/>
      </tp>
      <tp t="s">
        <v>#N/A N/A</v>
        <stp/>
        <stp>BDH|3321286701736321311</stp>
        <tr r="U86" s="3"/>
      </tp>
      <tp t="s">
        <v>#N/A N/A</v>
        <stp/>
        <stp>BDH|7077999830540392920</stp>
        <tr r="N61" s="4"/>
      </tp>
      <tp t="s">
        <v>#N/A N/A</v>
        <stp/>
        <stp>BDH|3850377258637866677</stp>
        <tr r="H93" s="3"/>
      </tp>
      <tp t="s">
        <v>#N/A N/A</v>
        <stp/>
        <stp>BDH|4592491960523306179</stp>
        <tr r="Q12" s="2"/>
      </tp>
      <tp t="s">
        <v>#N/A N/A</v>
        <stp/>
        <stp>BDH|8124981042646626750</stp>
        <tr r="U53" s="3"/>
      </tp>
      <tp t="s">
        <v>#N/A N/A</v>
        <stp/>
        <stp>BDH|9381453480077875663</stp>
        <tr r="D40" s="2"/>
      </tp>
      <tp t="s">
        <v>#N/A N/A</v>
        <stp/>
        <stp>BDH|4180410000807946305</stp>
        <tr r="L78" s="3"/>
      </tp>
      <tp t="s">
        <v>#N/A N/A</v>
        <stp/>
        <stp>BDH|4520811995751840001</stp>
        <tr r="Z58" s="3"/>
      </tp>
      <tp t="s">
        <v>#N/A N/A</v>
        <stp/>
        <stp>BDH|1914471470072296459</stp>
        <tr r="D26" s="4"/>
      </tp>
      <tp t="s">
        <v>#N/A N/A</v>
        <stp/>
        <stp>BDH|7494886342029044679</stp>
        <tr r="S23" s="3"/>
      </tp>
      <tp t="s">
        <v>#N/A N/A</v>
        <stp/>
        <stp>BDH|5470007521031445280</stp>
        <tr r="Z42" s="2"/>
      </tp>
      <tp t="s">
        <v>#N/A N/A</v>
        <stp/>
        <stp>BDH|4822645067088073824</stp>
        <tr r="Y40" s="2"/>
      </tp>
      <tp t="s">
        <v>#N/A N/A</v>
        <stp/>
        <stp>BDH|1973668763186445313</stp>
        <tr r="D60" s="4"/>
      </tp>
      <tp t="s">
        <v>#N/A N/A</v>
        <stp/>
        <stp>BDH|6762482816340662769</stp>
        <tr r="H57" s="2"/>
      </tp>
      <tp t="s">
        <v>#N/A N/A</v>
        <stp/>
        <stp>BDH|2734493062844505003</stp>
        <tr r="M10" s="2"/>
      </tp>
      <tp t="s">
        <v>#N/A N/A</v>
        <stp/>
        <stp>BDH|8902616979559895406</stp>
        <tr r="V40" s="2"/>
      </tp>
      <tp t="s">
        <v>#N/A N/A</v>
        <stp/>
        <stp>BDH|4666090497368338128</stp>
        <tr r="Z28" s="3"/>
      </tp>
      <tp t="s">
        <v>#N/A N/A</v>
        <stp/>
        <stp>BDH|3922888248288685310</stp>
        <tr r="P50" s="2"/>
      </tp>
      <tp t="s">
        <v>#N/A N/A</v>
        <stp/>
        <stp>BDH|1867467346675104072</stp>
        <tr r="H9" s="4"/>
      </tp>
      <tp t="s">
        <v>#N/A N/A</v>
        <stp/>
        <stp>BDH|7753393422266598478</stp>
        <tr r="K40" s="2"/>
      </tp>
      <tp t="s">
        <v>#N/A N/A</v>
        <stp/>
        <stp>BDH|2185300615546930239</stp>
        <tr r="Z11" s="2"/>
      </tp>
      <tp t="s">
        <v>#N/A N/A</v>
        <stp/>
        <stp>BDH|6623407669039965984</stp>
        <tr r="Y21" s="3"/>
      </tp>
      <tp t="s">
        <v>#N/A N/A</v>
        <stp/>
        <stp>BDH|1334081212687029370</stp>
        <tr r="N53" s="3"/>
      </tp>
      <tp t="s">
        <v>#N/A N/A</v>
        <stp/>
        <stp>BDH|3955812301747406839</stp>
        <tr r="T12" s="2"/>
      </tp>
      <tp t="s">
        <v>#N/A N/A</v>
        <stp/>
        <stp>BDH|9902305084422704449</stp>
        <tr r="K6" s="2"/>
      </tp>
      <tp t="s">
        <v>#N/A N/A</v>
        <stp/>
        <stp>BDH|1172436200195987457</stp>
        <tr r="T71" s="3"/>
      </tp>
      <tp t="s">
        <v>#N/A N/A</v>
        <stp/>
        <stp>BDH|5977741266950348065</stp>
        <tr r="U43" s="2"/>
      </tp>
      <tp t="s">
        <v>#N/A N/A</v>
        <stp/>
        <stp>BDH|6994688162413851143</stp>
        <tr r="I8" s="2"/>
      </tp>
      <tp t="s">
        <v>#N/A N/A</v>
        <stp/>
        <stp>BDH|2563254114664815130</stp>
        <tr r="C8" s="4"/>
      </tp>
      <tp t="s">
        <v>#N/A N/A</v>
        <stp/>
        <stp>BDH|2946390458073295359</stp>
        <tr r="Y27" s="4"/>
      </tp>
      <tp t="s">
        <v>#N/A N/A</v>
        <stp/>
        <stp>BDH|5720926787933910347</stp>
        <tr r="I13" s="4"/>
      </tp>
      <tp t="s">
        <v>#N/A N/A</v>
        <stp/>
        <stp>BDH|1653419873561361784</stp>
        <tr r="J85" s="3"/>
      </tp>
      <tp t="s">
        <v>#N/A N/A</v>
        <stp/>
        <stp>BDH|7446183070645750048</stp>
        <tr r="W46" s="3"/>
      </tp>
      <tp t="s">
        <v>#N/A N/A</v>
        <stp/>
        <stp>BDH|7177661588839158417</stp>
        <tr r="D83" s="3"/>
      </tp>
      <tp t="s">
        <v>#N/A N/A</v>
        <stp/>
        <stp>BDH|2843397288908447521</stp>
        <tr r="T70" s="2"/>
      </tp>
      <tp t="s">
        <v>#N/A N/A</v>
        <stp/>
        <stp>BDH|7902529094009186620</stp>
        <tr r="J30" s="4"/>
      </tp>
      <tp t="s">
        <v>#N/A N/A</v>
        <stp/>
        <stp>BDH|3141686571400429604</stp>
        <tr r="N39" s="2"/>
      </tp>
      <tp t="s">
        <v>#N/A N/A</v>
        <stp/>
        <stp>BDH|1124306316942348589</stp>
        <tr r="C16" s="4"/>
      </tp>
      <tp t="s">
        <v>#N/A N/A</v>
        <stp/>
        <stp>BDH|6814841381550059210</stp>
        <tr r="Y89" s="3"/>
      </tp>
      <tp t="s">
        <v>#N/A N/A</v>
        <stp/>
        <stp>BDH|9065792091571122250</stp>
        <tr r="Q65" s="4"/>
      </tp>
      <tp t="s">
        <v>#N/A N/A</v>
        <stp/>
        <stp>BDH|5858241173320706442</stp>
        <tr r="D40" s="4"/>
      </tp>
      <tp t="s">
        <v>#N/A N/A</v>
        <stp/>
        <stp>BDH|9791189885463023762</stp>
        <tr r="K15" s="2"/>
      </tp>
      <tp t="s">
        <v>#N/A N/A</v>
        <stp/>
        <stp>BDH|2669595031658084829</stp>
        <tr r="P27" s="3"/>
      </tp>
      <tp t="s">
        <v>#N/A N/A</v>
        <stp/>
        <stp>BDH|9025201793212659492</stp>
        <tr r="Z39" s="3"/>
      </tp>
      <tp t="s">
        <v>#N/A N/A</v>
        <stp/>
        <stp>BDH|4639638813234937331</stp>
        <tr r="L23" s="4"/>
      </tp>
      <tp t="s">
        <v>#N/A N/A</v>
        <stp/>
        <stp>BDH|1936464832384876699</stp>
        <tr r="K19" s="2"/>
      </tp>
      <tp t="s">
        <v>#N/A N/A</v>
        <stp/>
        <stp>BDH|7860737472132298173</stp>
        <tr r="X28" s="2"/>
      </tp>
      <tp t="s">
        <v>#N/A N/A</v>
        <stp/>
        <stp>BDH|1199080051557088757</stp>
        <tr r="L28" s="4"/>
      </tp>
      <tp t="s">
        <v>#N/A N/A</v>
        <stp/>
        <stp>BDH|1757618367756996351</stp>
        <tr r="F49" s="3"/>
      </tp>
      <tp t="s">
        <v>#N/A N/A</v>
        <stp/>
        <stp>BDH|3940016324380837595</stp>
        <tr r="X54" s="3"/>
      </tp>
      <tp t="s">
        <v>#N/A N/A</v>
        <stp/>
        <stp>BDH|8442881300224468056</stp>
        <tr r="T45" s="2"/>
      </tp>
      <tp t="s">
        <v>#N/A N/A</v>
        <stp/>
        <stp>BDH|7015633459882772204</stp>
        <tr r="D25" s="2"/>
      </tp>
      <tp t="s">
        <v>#N/A N/A</v>
        <stp/>
        <stp>BDH|5711899337258319273</stp>
        <tr r="N23" s="2"/>
      </tp>
      <tp t="s">
        <v>#N/A N/A</v>
        <stp/>
        <stp>BDH|2365619672243458495</stp>
        <tr r="W27" s="2"/>
      </tp>
      <tp t="s">
        <v>#N/A N/A</v>
        <stp/>
        <stp>BDH|9357660696493930182</stp>
        <tr r="I21" s="2"/>
      </tp>
      <tp t="s">
        <v>#N/A N/A</v>
        <stp/>
        <stp>BDH|3032066560544748530</stp>
        <tr r="P46" s="3"/>
      </tp>
      <tp t="s">
        <v>#N/A N/A</v>
        <stp/>
        <stp>BDH|1545226360647610632</stp>
        <tr r="Z76" s="3"/>
      </tp>
      <tp t="s">
        <v>#N/A N/A</v>
        <stp/>
        <stp>BDH|6290302027735727606</stp>
        <tr r="D24" s="3"/>
      </tp>
      <tp t="s">
        <v>#N/A N/A</v>
        <stp/>
        <stp>BDH|4135626602687305109</stp>
        <tr r="M38" s="3"/>
      </tp>
      <tp t="s">
        <v>#N/A N/A</v>
        <stp/>
        <stp>BDH|6727282612764630598</stp>
        <tr r="J70" s="2"/>
      </tp>
      <tp t="s">
        <v>#N/A N/A</v>
        <stp/>
        <stp>BDH|6396429322971860593</stp>
        <tr r="R29" s="2"/>
      </tp>
      <tp t="s">
        <v>#N/A N/A</v>
        <stp/>
        <stp>BDH|4691863523949398326</stp>
        <tr r="I33" s="3"/>
      </tp>
      <tp t="s">
        <v>#N/A N/A</v>
        <stp/>
        <stp>BDH|2395505410201881398</stp>
        <tr r="Y35" s="4"/>
      </tp>
      <tp t="s">
        <v>#N/A N/A</v>
        <stp/>
        <stp>BDH|5126331741830694663</stp>
        <tr r="Z64" s="3"/>
      </tp>
      <tp t="s">
        <v>#N/A N/A</v>
        <stp/>
        <stp>BDH|8148614883587708574</stp>
        <tr r="N17" s="4"/>
      </tp>
      <tp t="s">
        <v>#N/A N/A</v>
        <stp/>
        <stp>BDH|4658680109813349578</stp>
        <tr r="S29" s="3"/>
      </tp>
      <tp t="s">
        <v>#N/A N/A</v>
        <stp/>
        <stp>BDH|7032282275451677781</stp>
        <tr r="O31" s="2"/>
      </tp>
      <tp t="s">
        <v>#N/A N/A</v>
        <stp/>
        <stp>BDH|5010519561781190325</stp>
        <tr r="N54" s="3"/>
      </tp>
      <tp t="s">
        <v>#N/A N/A</v>
        <stp/>
        <stp>BDH|5010324833162570376</stp>
        <tr r="T23" s="2"/>
      </tp>
      <tp t="s">
        <v>#N/A N/A</v>
        <stp/>
        <stp>BDH|5170115664227003174</stp>
        <tr r="P32" s="2"/>
      </tp>
      <tp t="s">
        <v>#N/A N/A</v>
        <stp/>
        <stp>BDH|1316562155345140022</stp>
        <tr r="Q31" s="2"/>
      </tp>
      <tp t="s">
        <v>#N/A N/A</v>
        <stp/>
        <stp>BDH|5719761155287185463</stp>
        <tr r="G42" s="4"/>
      </tp>
      <tp t="s">
        <v>#N/A N/A</v>
        <stp/>
        <stp>BDH|6928521076278688880</stp>
        <tr r="V29" s="2"/>
      </tp>
      <tp t="s">
        <v>#N/A N/A</v>
        <stp/>
        <stp>BDH|9762947311613881696</stp>
        <tr r="Y8" s="3"/>
      </tp>
      <tp t="s">
        <v>#N/A N/A</v>
        <stp/>
        <stp>BDH|2711577936613190344</stp>
        <tr r="O24" s="2"/>
      </tp>
      <tp t="s">
        <v>#N/A N/A</v>
        <stp/>
        <stp>BDH|7331127640233786552</stp>
        <tr r="R35" s="4"/>
      </tp>
      <tp t="s">
        <v>#N/A N/A</v>
        <stp/>
        <stp>BDH|5296702796467795809</stp>
        <tr r="C7" s="3"/>
      </tp>
      <tp t="s">
        <v>#N/A N/A</v>
        <stp/>
        <stp>BDH|7430818403572016951</stp>
        <tr r="Q40" s="3"/>
      </tp>
      <tp t="s">
        <v>#N/A N/A</v>
        <stp/>
        <stp>BDH|4095079394760253911</stp>
        <tr r="P9" s="3"/>
      </tp>
      <tp t="s">
        <v>#N/A N/A</v>
        <stp/>
        <stp>BDH|1423445242256144333</stp>
        <tr r="L85" s="3"/>
      </tp>
      <tp t="s">
        <v>#N/A N/A</v>
        <stp/>
        <stp>BDH|5830295767214419127</stp>
        <tr r="D90" s="3"/>
      </tp>
      <tp t="s">
        <v>#N/A N/A</v>
        <stp/>
        <stp>BDH|3335301323257400146</stp>
        <tr r="W25" s="3"/>
      </tp>
      <tp t="s">
        <v>#N/A N/A</v>
        <stp/>
        <stp>BDH|3413107704023726579</stp>
        <tr r="P12" s="4"/>
      </tp>
      <tp t="s">
        <v>#N/A N/A</v>
        <stp/>
        <stp>BDH|5161430561942408172</stp>
        <tr r="C71" s="3"/>
      </tp>
      <tp t="s">
        <v>#N/A N/A</v>
        <stp/>
        <stp>BDH|7204122321086497656</stp>
        <tr r="D20" s="2"/>
      </tp>
      <tp t="s">
        <v>#N/A N/A</v>
        <stp/>
        <stp>BDH|6242085563961026596</stp>
        <tr r="K68" s="2"/>
      </tp>
      <tp t="s">
        <v>#N/A N/A</v>
        <stp/>
        <stp>BDH|2039933433838343432</stp>
        <tr r="F52" s="3"/>
      </tp>
      <tp t="s">
        <v>#N/A N/A</v>
        <stp/>
        <stp>BDH|2971883177090720907</stp>
        <tr r="M94" s="3"/>
      </tp>
      <tp t="s">
        <v>#N/A N/A</v>
        <stp/>
        <stp>BDH|1878616419666736467</stp>
        <tr r="D66" s="3"/>
      </tp>
      <tp t="s">
        <v>#N/A N/A</v>
        <stp/>
        <stp>BDH|1666277336887496323</stp>
        <tr r="O35" s="3"/>
      </tp>
      <tp t="s">
        <v>#N/A N/A</v>
        <stp/>
        <stp>BDH|9013956703864345049</stp>
        <tr r="K59" s="3"/>
      </tp>
      <tp t="s">
        <v>#N/A N/A</v>
        <stp/>
        <stp>BDH|6141576153162097048</stp>
        <tr r="V22" s="2"/>
      </tp>
      <tp t="s">
        <v>#N/A N/A</v>
        <stp/>
        <stp>BDH|1110022914427265343</stp>
        <tr r="L15" s="4"/>
      </tp>
      <tp t="s">
        <v>#N/A N/A</v>
        <stp/>
        <stp>BDH|2286668652767064275</stp>
        <tr r="M33" s="3"/>
      </tp>
      <tp t="s">
        <v>#N/A N/A</v>
        <stp/>
        <stp>BDH|5794447959796863639</stp>
        <tr r="L87" s="3"/>
      </tp>
      <tp t="s">
        <v>#N/A N/A</v>
        <stp/>
        <stp>BDH|1216412868884843327</stp>
        <tr r="O16" s="2"/>
      </tp>
      <tp t="s">
        <v>#N/A N/A</v>
        <stp/>
        <stp>BDH|7814083399799892302</stp>
        <tr r="X35" s="2"/>
        <tr r="X47" s="2"/>
      </tp>
      <tp t="s">
        <v>#N/A N/A</v>
        <stp/>
        <stp>BDH|2433368378855358788</stp>
        <tr r="M28" s="4"/>
      </tp>
      <tp t="s">
        <v>#N/A N/A</v>
        <stp/>
        <stp>BDH|3519342010810477542</stp>
        <tr r="W82" s="3"/>
      </tp>
      <tp t="s">
        <v>#N/A N/A</v>
        <stp/>
        <stp>BDH|4844689153833413015</stp>
        <tr r="E61" s="3"/>
      </tp>
      <tp t="s">
        <v>#N/A N/A</v>
        <stp/>
        <stp>BDH|6702127773500953496</stp>
        <tr r="E11" s="3"/>
      </tp>
      <tp t="s">
        <v>#N/A N/A</v>
        <stp/>
        <stp>BDH|6172662837340256743</stp>
        <tr r="K7" s="4"/>
      </tp>
      <tp t="s">
        <v>#N/A N/A</v>
        <stp/>
        <stp>BDH|2058631195260944992</stp>
        <tr r="U20" s="2"/>
      </tp>
      <tp t="s">
        <v>#N/A N/A</v>
        <stp/>
        <stp>BDH|9482300391931116623</stp>
        <tr r="T15" s="3"/>
      </tp>
      <tp t="s">
        <v>#N/A N/A</v>
        <stp/>
        <stp>BDH|2401595247120802747</stp>
        <tr r="L90" s="3"/>
      </tp>
      <tp t="s">
        <v>#N/A N/A</v>
        <stp/>
        <stp>BDH|9218623287147903481</stp>
        <tr r="G43" s="4"/>
      </tp>
      <tp t="s">
        <v>#N/A N/A</v>
        <stp/>
        <stp>BDH|5451290621113253285</stp>
        <tr r="I89" s="3"/>
      </tp>
      <tp t="s">
        <v>#N/A N/A</v>
        <stp/>
        <stp>BDH|4159027679526502193</stp>
        <tr r="O68" s="3"/>
      </tp>
      <tp t="s">
        <v>#N/A N/A</v>
        <stp/>
        <stp>BDH|2406315327954226368</stp>
        <tr r="Q37" s="4"/>
      </tp>
      <tp t="s">
        <v>#N/A N/A</v>
        <stp/>
        <stp>BDH|5278605988117529897</stp>
        <tr r="I50" s="3"/>
      </tp>
      <tp t="s">
        <v>#N/A N/A</v>
        <stp/>
        <stp>BDH|2922902998862506420</stp>
        <tr r="Y57" s="2"/>
      </tp>
      <tp t="s">
        <v>#N/A N/A</v>
        <stp/>
        <stp>BDH|4241444341332181201</stp>
        <tr r="N45" s="2"/>
      </tp>
      <tp t="s">
        <v>#N/A N/A</v>
        <stp/>
        <stp>BDH|7868484184827611846</stp>
        <tr r="Q67" s="2"/>
      </tp>
      <tp t="s">
        <v>#N/A N/A</v>
        <stp/>
        <stp>BDH|4488638432221099435</stp>
        <tr r="E17" s="3"/>
      </tp>
      <tp t="s">
        <v>#N/A N/A</v>
        <stp/>
        <stp>BDH|6977651359914767547</stp>
        <tr r="J67" s="2"/>
      </tp>
      <tp t="s">
        <v>#N/A N/A</v>
        <stp/>
        <stp>BDH|6208451803382256409</stp>
        <tr r="Q61" s="3"/>
      </tp>
      <tp t="s">
        <v>#N/A N/A</v>
        <stp/>
        <stp>BDH|1753297357326867464</stp>
        <tr r="X49" s="4"/>
      </tp>
      <tp t="s">
        <v>#N/A N/A</v>
        <stp/>
        <stp>BDH|4135151075351640706</stp>
        <tr r="V27" s="4"/>
      </tp>
      <tp t="s">
        <v>#N/A N/A</v>
        <stp/>
        <stp>BDH|6140431414312777563</stp>
        <tr r="D23" s="3"/>
      </tp>
      <tp t="s">
        <v>#N/A N/A</v>
        <stp/>
        <stp>BDH|1907805025026361987</stp>
        <tr r="Y40" s="4"/>
      </tp>
      <tp t="s">
        <v>#N/A N/A</v>
        <stp/>
        <stp>BDH|8164514444109771440</stp>
        <tr r="P56" s="3"/>
      </tp>
      <tp t="s">
        <v>#N/A N/A</v>
        <stp/>
        <stp>BDH|7851477526503877666</stp>
        <tr r="J71" s="3"/>
      </tp>
      <tp t="s">
        <v>#N/A N/A</v>
        <stp/>
        <stp>BDH|4078217176862603767</stp>
        <tr r="M54" s="2"/>
      </tp>
      <tp t="s">
        <v>#N/A N/A</v>
        <stp/>
        <stp>BDH|4517853686107543749</stp>
        <tr r="Z51" s="3"/>
      </tp>
      <tp t="s">
        <v>#N/A N/A</v>
        <stp/>
        <stp>BDH|3458608915764481413</stp>
        <tr r="P72" s="2"/>
      </tp>
      <tp t="s">
        <v>#N/A N/A</v>
        <stp/>
        <stp>BDH|5541287239722419244</stp>
        <tr r="T26" s="2"/>
      </tp>
      <tp t="s">
        <v>#N/A N/A</v>
        <stp/>
        <stp>BDH|6752731877065025773</stp>
        <tr r="P85" s="3"/>
      </tp>
      <tp t="s">
        <v>#N/A N/A</v>
        <stp/>
        <stp>BDH|5403354927216248606</stp>
        <tr r="U65" s="2"/>
      </tp>
      <tp t="s">
        <v>#N/A N/A</v>
        <stp/>
        <stp>BDH|3446413229740859101</stp>
        <tr r="V61" s="4"/>
      </tp>
      <tp t="s">
        <v>#N/A N/A</v>
        <stp/>
        <stp>BDH|4127927475296257805</stp>
        <tr r="U72" s="2"/>
      </tp>
      <tp t="s">
        <v>#N/A N/A</v>
        <stp/>
        <stp>BDH|2386068728285857110</stp>
        <tr r="X62" s="2"/>
      </tp>
      <tp t="s">
        <v>#N/A N/A</v>
        <stp/>
        <stp>BDH|1858805966762886929</stp>
        <tr r="W50" s="3"/>
      </tp>
      <tp t="s">
        <v>#N/A N/A</v>
        <stp/>
        <stp>BDH|2522318454041548118</stp>
        <tr r="H41" s="3"/>
      </tp>
      <tp t="s">
        <v>#N/A N/A</v>
        <stp/>
        <stp>BDH|2408672111600459128</stp>
        <tr r="D14" s="4"/>
      </tp>
      <tp t="s">
        <v>#N/A N/A</v>
        <stp/>
        <stp>BDH|8044839391379541431</stp>
        <tr r="R68" s="2"/>
      </tp>
      <tp t="s">
        <v>#N/A N/A</v>
        <stp/>
        <stp>BDH|8434686772805918831</stp>
        <tr r="V68" s="2"/>
      </tp>
      <tp t="s">
        <v>#N/A N/A</v>
        <stp/>
        <stp>BDH|1372423442006420338</stp>
        <tr r="G14" s="4"/>
      </tp>
      <tp t="s">
        <v>#N/A N/A</v>
        <stp/>
        <stp>BDH|1031714541560434610</stp>
        <tr r="F31" s="4"/>
      </tp>
      <tp t="s">
        <v>#N/A N/A</v>
        <stp/>
        <stp>BDH|4534712100760832794</stp>
        <tr r="J11" s="2"/>
      </tp>
      <tp t="s">
        <v>#N/A N/A</v>
        <stp/>
        <stp>BDH|8143970517440775437</stp>
        <tr r="T40" s="4"/>
      </tp>
      <tp t="s">
        <v>#N/A N/A</v>
        <stp/>
        <stp>BDH|5003731019304948366</stp>
        <tr r="M36" s="4"/>
      </tp>
      <tp t="s">
        <v>#N/A N/A</v>
        <stp/>
        <stp>BDH|1125067952996175618</stp>
        <tr r="C23" s="3"/>
      </tp>
      <tp t="s">
        <v>#N/A N/A</v>
        <stp/>
        <stp>BDH|3059554016461578237</stp>
        <tr r="U12" s="4"/>
      </tp>
      <tp t="s">
        <v>#N/A N/A</v>
        <stp/>
        <stp>BDH|2633644804231083139</stp>
        <tr r="V20" s="3"/>
      </tp>
      <tp t="s">
        <v>#N/A N/A</v>
        <stp/>
        <stp>BDH|8515826323451027716</stp>
        <tr r="X71" s="3"/>
      </tp>
      <tp t="s">
        <v>#N/A N/A</v>
        <stp/>
        <stp>BDH|3345775371575748276</stp>
        <tr r="V28" s="2"/>
      </tp>
      <tp t="s">
        <v>#N/A N/A</v>
        <stp/>
        <stp>BDH|6465850497977702445</stp>
        <tr r="F36" s="4"/>
      </tp>
      <tp t="s">
        <v>#N/A N/A</v>
        <stp/>
        <stp>BDH|2218193272259834949</stp>
        <tr r="J40" s="2"/>
      </tp>
      <tp t="s">
        <v>#N/A N/A</v>
        <stp/>
        <stp>BDH|9706745632921525812</stp>
        <tr r="Q33" s="3"/>
      </tp>
      <tp t="s">
        <v>#N/A N/A</v>
        <stp/>
        <stp>BDH|6247578894478056641</stp>
        <tr r="R27" s="2"/>
      </tp>
      <tp t="s">
        <v>#N/A N/A</v>
        <stp/>
        <stp>BDH|3150333207151753482</stp>
        <tr r="W14" s="4"/>
      </tp>
      <tp t="s">
        <v>#N/A N/A</v>
        <stp/>
        <stp>BDH|6193693732750084607</stp>
        <tr r="P16" s="4"/>
      </tp>
      <tp t="s">
        <v>#N/A N/A</v>
        <stp/>
        <stp>BDH|6511577743055336787</stp>
        <tr r="J28" s="3"/>
      </tp>
      <tp t="s">
        <v>#N/A N/A</v>
        <stp/>
        <stp>BDH|9824272422954663816</stp>
        <tr r="G56" s="2"/>
      </tp>
      <tp t="s">
        <v>#N/A N/A</v>
        <stp/>
        <stp>BDH|2098145941463680199</stp>
        <tr r="D12" s="3"/>
      </tp>
      <tp t="s">
        <v>#N/A N/A</v>
        <stp/>
        <stp>BDH|6695271559113466766</stp>
        <tr r="O75" s="3"/>
      </tp>
      <tp t="s">
        <v>#N/A N/A</v>
        <stp/>
        <stp>BDH|1785284350944762730</stp>
        <tr r="G8" s="3"/>
      </tp>
      <tp t="s">
        <v>#N/A N/A</v>
        <stp/>
        <stp>BDH|3343194974870020059</stp>
        <tr r="X68" s="3"/>
      </tp>
      <tp t="s">
        <v>#N/A N/A</v>
        <stp/>
        <stp>BDH|4369787863361509161</stp>
        <tr r="F50" s="2"/>
      </tp>
      <tp t="s">
        <v>#N/A N/A</v>
        <stp/>
        <stp>BDH|3962334516072409634</stp>
        <tr r="D78" s="3"/>
      </tp>
      <tp t="s">
        <v>#N/A N/A</v>
        <stp/>
        <stp>BDH|2210299842741408067</stp>
        <tr r="Z27" s="3"/>
      </tp>
      <tp t="s">
        <v>#N/A N/A</v>
        <stp/>
        <stp>BDH|3778758009243631264</stp>
        <tr r="D67" s="2"/>
      </tp>
      <tp t="s">
        <v>#N/A N/A</v>
        <stp/>
        <stp>BDH|1178040933487490097</stp>
        <tr r="Q40" s="4"/>
      </tp>
      <tp t="s">
        <v>#N/A N/A</v>
        <stp/>
        <stp>BDH|1243265173719589892</stp>
        <tr r="V62" s="4"/>
      </tp>
      <tp t="s">
        <v>#N/A N/A</v>
        <stp/>
        <stp>BDH|7177896732348654146</stp>
        <tr r="I28" s="2"/>
      </tp>
      <tp t="s">
        <v>#N/A N/A</v>
        <stp/>
        <stp>BDH|9902813676667076461</stp>
        <tr r="I73" s="3"/>
      </tp>
      <tp t="s">
        <v>#N/A N/A</v>
        <stp/>
        <stp>BDH|4935566154309222810</stp>
        <tr r="K82" s="3"/>
      </tp>
      <tp t="s">
        <v>#N/A N/A</v>
        <stp/>
        <stp>BDH|2418515826022320282</stp>
        <tr r="C64" s="2"/>
      </tp>
      <tp t="s">
        <v>#N/A N/A</v>
        <stp/>
        <stp>BDH|6874511376685469430</stp>
        <tr r="J27" s="4"/>
      </tp>
      <tp t="s">
        <v>#N/A N/A</v>
        <stp/>
        <stp>BDH|7953311153435519169</stp>
        <tr r="H53" s="3"/>
      </tp>
      <tp t="s">
        <v>#N/A N/A</v>
        <stp/>
        <stp>BDH|2214437841111019688</stp>
        <tr r="H10" s="3"/>
      </tp>
      <tp t="s">
        <v>#N/A N/A</v>
        <stp/>
        <stp>BDH|5754605921282859669</stp>
        <tr r="N8" s="3"/>
      </tp>
      <tp t="s">
        <v>#N/A N/A</v>
        <stp/>
        <stp>BDH|7437145969487742271</stp>
        <tr r="X85" s="3"/>
      </tp>
      <tp t="s">
        <v>#N/A N/A</v>
        <stp/>
        <stp>BDH|7960287620903998116</stp>
        <tr r="D18" s="3"/>
      </tp>
      <tp t="s">
        <v>#N/A N/A</v>
        <stp/>
        <stp>BDH|8063942761174583696</stp>
        <tr r="F60" s="4"/>
      </tp>
      <tp t="s">
        <v>#N/A N/A</v>
        <stp/>
        <stp>BDH|5630259176817883241</stp>
        <tr r="W56" s="2"/>
      </tp>
      <tp t="s">
        <v>#N/A N/A</v>
        <stp/>
        <stp>BDH|9607978151209968906</stp>
        <tr r="C17" s="3"/>
      </tp>
      <tp t="s">
        <v>#N/A N/A</v>
        <stp/>
        <stp>BDH|6377649422085836242</stp>
        <tr r="V87" s="3"/>
      </tp>
      <tp t="s">
        <v>#N/A N/A</v>
        <stp/>
        <stp>BDH|1987117470423662173</stp>
        <tr r="C68" s="3"/>
      </tp>
      <tp t="s">
        <v>#N/A N/A</v>
        <stp/>
        <stp>BDH|7413197949621485696</stp>
        <tr r="E19" s="2"/>
      </tp>
      <tp t="s">
        <v>#N/A N/A</v>
        <stp/>
        <stp>BDH|3553744231124972676</stp>
        <tr r="V49" s="4"/>
      </tp>
      <tp t="s">
        <v>#N/A N/A</v>
        <stp/>
        <stp>BDH|8543827444233849256</stp>
        <tr r="O59" s="4"/>
      </tp>
      <tp t="s">
        <v>#N/A N/A</v>
        <stp/>
        <stp>BDH|5749726829014216104</stp>
        <tr r="Z16" s="2"/>
      </tp>
      <tp t="s">
        <v>#N/A N/A</v>
        <stp/>
        <stp>BDH|3828558224508282951</stp>
        <tr r="R45" s="2"/>
      </tp>
      <tp t="s">
        <v>#N/A N/A</v>
        <stp/>
        <stp>BDH|4233533203967930356</stp>
        <tr r="W33" s="2"/>
      </tp>
      <tp t="s">
        <v>#N/A N/A</v>
        <stp/>
        <stp>BDH|5135356247137894052</stp>
        <tr r="T78" s="3"/>
      </tp>
      <tp t="s">
        <v>#N/A N/A</v>
        <stp/>
        <stp>BDH|1946799450533917569</stp>
        <tr r="R62" s="4"/>
      </tp>
      <tp t="s">
        <v>#N/A N/A</v>
        <stp/>
        <stp>BDH|1929224051395210676</stp>
        <tr r="Y35" s="2"/>
        <tr r="Y47" s="2"/>
      </tp>
      <tp t="s">
        <v>#N/A N/A</v>
        <stp/>
        <stp>BDH|2133409724545836425</stp>
        <tr r="K61" s="4"/>
      </tp>
      <tp t="s">
        <v>#N/A N/A</v>
        <stp/>
        <stp>BDH|7255980373988005466</stp>
        <tr r="T49" s="3"/>
      </tp>
      <tp t="s">
        <v>#N/A N/A</v>
        <stp/>
        <stp>BDH|6606592742795134705</stp>
        <tr r="X25" s="4"/>
      </tp>
      <tp t="s">
        <v>#N/A N/A</v>
        <stp/>
        <stp>BDH|9268681315229435274</stp>
        <tr r="O61" s="2"/>
      </tp>
      <tp t="s">
        <v>#N/A N/A</v>
        <stp/>
        <stp>BDH|3132620618190046174</stp>
        <tr r="T54" s="3"/>
      </tp>
      <tp t="s">
        <v>#N/A N/A</v>
        <stp/>
        <stp>BDH|7249775629070324736</stp>
        <tr r="F28" s="3"/>
      </tp>
      <tp t="s">
        <v>#N/A N/A</v>
        <stp/>
        <stp>BDH|6636117309425128737</stp>
        <tr r="Y85" s="3"/>
      </tp>
      <tp t="s">
        <v>#N/A N/A</v>
        <stp/>
        <stp>BDH|2901275430602341411</stp>
        <tr r="Y46" s="3"/>
      </tp>
      <tp t="s">
        <v>#N/A N/A</v>
        <stp/>
        <stp>BDH|8012369382435995313</stp>
        <tr r="P34" s="2"/>
      </tp>
      <tp t="s">
        <v>#N/A N/A</v>
        <stp/>
        <stp>BDH|8675758176588940507</stp>
        <tr r="H11" s="4"/>
      </tp>
      <tp t="s">
        <v>#N/A N/A</v>
        <stp/>
        <stp>BDH|2968207584678173508</stp>
        <tr r="K10" s="2"/>
      </tp>
      <tp t="s">
        <v>#N/A N/A</v>
        <stp/>
        <stp>BDH|4340799510884216349</stp>
        <tr r="W53" s="3"/>
      </tp>
      <tp t="s">
        <v>#N/A N/A</v>
        <stp/>
        <stp>BDH|6248791227806940095</stp>
        <tr r="C54" s="3"/>
      </tp>
      <tp t="s">
        <v>#N/A N/A</v>
        <stp/>
        <stp>BDH|5222187342380099540</stp>
        <tr r="M67" s="3"/>
      </tp>
      <tp t="s">
        <v>#N/A N/A</v>
        <stp/>
        <stp>BDH|3728491511097604442</stp>
        <tr r="V49" s="3"/>
      </tp>
      <tp t="s">
        <v>#N/A N/A</v>
        <stp/>
        <stp>BDH|7882179364300635501</stp>
        <tr r="Q43" s="2"/>
      </tp>
      <tp t="s">
        <v>#N/A N/A</v>
        <stp/>
        <stp>BDH|2459667767764915314</stp>
        <tr r="I23" s="2"/>
      </tp>
      <tp t="s">
        <v>#N/A N/A</v>
        <stp/>
        <stp>BDH|4700320141757067192</stp>
        <tr r="F43" s="3"/>
      </tp>
      <tp t="s">
        <v>#N/A N/A</v>
        <stp/>
        <stp>BDH|5778326702370367392</stp>
        <tr r="X33" s="2"/>
      </tp>
      <tp t="s">
        <v>#N/A N/A</v>
        <stp/>
        <stp>BDH|7533223824902739091</stp>
        <tr r="I71" s="2"/>
      </tp>
      <tp t="s">
        <v>#N/A N/A</v>
        <stp/>
        <stp>BDH|4101005421617983441</stp>
        <tr r="V47" s="4"/>
      </tp>
      <tp t="s">
        <v>#N/A N/A</v>
        <stp/>
        <stp>BDH|5624721269918217927</stp>
        <tr r="O20" s="3"/>
      </tp>
      <tp t="s">
        <v>#N/A N/A</v>
        <stp/>
        <stp>BDH|1300219029642314650</stp>
        <tr r="L27" s="2"/>
      </tp>
      <tp t="s">
        <v>#N/A N/A</v>
        <stp/>
        <stp>BDH|6476523178335954450</stp>
        <tr r="N7" s="2"/>
      </tp>
      <tp t="s">
        <v>#N/A N/A</v>
        <stp/>
        <stp>BDH|4674659433893117733</stp>
        <tr r="R33" s="3"/>
      </tp>
      <tp t="s">
        <v>#N/A N/A</v>
        <stp/>
        <stp>BDH|6220528312425687261</stp>
        <tr r="Q34" s="4"/>
      </tp>
      <tp t="s">
        <v>#N/A N/A</v>
        <stp/>
        <stp>BDH|1380262612010253774</stp>
        <tr r="M12" s="2"/>
      </tp>
      <tp t="s">
        <v>#N/A N/A</v>
        <stp/>
        <stp>BDH|1017356923266472308</stp>
        <tr r="H39" s="3"/>
      </tp>
      <tp t="s">
        <v>#N/A N/A</v>
        <stp/>
        <stp>BDH|5787256495959538208</stp>
        <tr r="E32" s="2"/>
      </tp>
      <tp t="s">
        <v>#N/A N/A</v>
        <stp/>
        <stp>BDH|6229768197805152814</stp>
        <tr r="G26" s="3"/>
      </tp>
      <tp t="s">
        <v>#N/A N/A</v>
        <stp/>
        <stp>BDH|6135443104661098629</stp>
        <tr r="Q67" s="3"/>
      </tp>
      <tp t="s">
        <v>#N/A N/A</v>
        <stp/>
        <stp>BDH|9216808414430518505</stp>
        <tr r="S26" s="4"/>
      </tp>
      <tp t="s">
        <v>#N/A N/A</v>
        <stp/>
        <stp>BDH|6451660427200661709</stp>
        <tr r="M30" s="4"/>
      </tp>
      <tp t="s">
        <v>#N/A N/A</v>
        <stp/>
        <stp>BDH|2240212600980515552</stp>
        <tr r="M11" s="3"/>
      </tp>
      <tp t="s">
        <v>#N/A N/A</v>
        <stp/>
        <stp>BDH|3768243775195420618</stp>
        <tr r="K42" s="3"/>
      </tp>
      <tp t="s">
        <v>#N/A N/A</v>
        <stp/>
        <stp>BDH|7994820909619707361</stp>
        <tr r="P30" s="4"/>
      </tp>
      <tp t="s">
        <v>#N/A N/A</v>
        <stp/>
        <stp>BDH|7629653353563340230</stp>
        <tr r="H50" s="2"/>
      </tp>
      <tp t="s">
        <v>#N/A N/A</v>
        <stp/>
        <stp>BDH|5609061694438274162</stp>
        <tr r="D33" s="4"/>
      </tp>
      <tp t="s">
        <v>#N/A N/A</v>
        <stp/>
        <stp>BDH|6748733264195810784</stp>
        <tr r="V32" s="3"/>
      </tp>
      <tp t="s">
        <v>#N/A N/A</v>
        <stp/>
        <stp>BDH|7343202545434726012</stp>
        <tr r="Y35" s="3"/>
      </tp>
      <tp t="s">
        <v>#N/A N/A</v>
        <stp/>
        <stp>BDH|6153132744387505136</stp>
        <tr r="F11" s="4"/>
      </tp>
      <tp t="s">
        <v>#N/A N/A</v>
        <stp/>
        <stp>BDH|9898903137882710487</stp>
        <tr r="X64" s="3"/>
      </tp>
      <tp t="s">
        <v>#N/A N/A</v>
        <stp/>
        <stp>BDH|5502254833149790846</stp>
        <tr r="D34" s="2"/>
      </tp>
      <tp t="s">
        <v>#N/A N/A</v>
        <stp/>
        <stp>BDH|6616425266098567963</stp>
        <tr r="L51" s="2"/>
      </tp>
      <tp t="s">
        <v>#N/A N/A</v>
        <stp/>
        <stp>BDH|7855002703440822221</stp>
        <tr r="T15" s="4"/>
      </tp>
      <tp t="s">
        <v>#N/A N/A</v>
        <stp/>
        <stp>BDH|4450454786324778915</stp>
        <tr r="V37" s="4"/>
      </tp>
      <tp t="s">
        <v>#N/A N/A</v>
        <stp/>
        <stp>BDH|3650566749183182499</stp>
        <tr r="T58" s="4"/>
      </tp>
      <tp t="s">
        <v>#N/A N/A</v>
        <stp/>
        <stp>BDH|1914162159009478930</stp>
        <tr r="O10" s="2"/>
      </tp>
      <tp t="s">
        <v>#N/A N/A</v>
        <stp/>
        <stp>BDH|6497420221650203548</stp>
        <tr r="T73" s="3"/>
      </tp>
      <tp t="s">
        <v>#N/A N/A</v>
        <stp/>
        <stp>BDH|5113163757521239533</stp>
        <tr r="Q18" s="2"/>
      </tp>
      <tp t="s">
        <v>#N/A N/A</v>
        <stp/>
        <stp>BDH|6490537067366393622</stp>
        <tr r="G88" s="3"/>
      </tp>
      <tp t="s">
        <v>#N/A N/A</v>
        <stp/>
        <stp>BDH|1204664547191013722</stp>
        <tr r="C85" s="3"/>
      </tp>
      <tp t="s">
        <v>#N/A N/A</v>
        <stp/>
        <stp>BDH|7556664023540567649</stp>
        <tr r="Q63" s="2"/>
      </tp>
      <tp t="s">
        <v>#N/A N/A</v>
        <stp/>
        <stp>BDH|4689305577007542255</stp>
        <tr r="H35" s="4"/>
      </tp>
      <tp t="s">
        <v>#N/A N/A</v>
        <stp/>
        <stp>BDH|7542356154307511371</stp>
        <tr r="O61" s="3"/>
      </tp>
      <tp t="s">
        <v>#N/A N/A</v>
        <stp/>
        <stp>BDH|8747391786206942072</stp>
        <tr r="N75" s="3"/>
      </tp>
      <tp t="s">
        <v>#N/A N/A</v>
        <stp/>
        <stp>BDH|6539725671213337035</stp>
        <tr r="Q17" s="3"/>
      </tp>
      <tp t="s">
        <v>#N/A N/A</v>
        <stp/>
        <stp>BDH|2902147478183765244</stp>
        <tr r="I26" s="2"/>
      </tp>
      <tp t="s">
        <v>#N/A N/A</v>
        <stp/>
        <stp>BDH|1253642695759674230</stp>
        <tr r="L64" s="3"/>
      </tp>
      <tp t="s">
        <v>#N/A N/A</v>
        <stp/>
        <stp>BDH|2122853614018217647</stp>
        <tr r="M21" s="4"/>
      </tp>
      <tp t="s">
        <v>#N/A N/A</v>
        <stp/>
        <stp>BDH|5660291299759486243</stp>
        <tr r="Z18" s="4"/>
      </tp>
      <tp t="s">
        <v>#N/A N/A</v>
        <stp/>
        <stp>BDH|3735616201217951788</stp>
        <tr r="W42" s="3"/>
      </tp>
      <tp t="s">
        <v>#N/A N/A</v>
        <stp/>
        <stp>BDH|3757492131313009299</stp>
        <tr r="K29" s="4"/>
      </tp>
      <tp t="s">
        <v>#N/A N/A</v>
        <stp/>
        <stp>BDH|4053689902891525685</stp>
        <tr r="E27" s="2"/>
      </tp>
      <tp t="s">
        <v>#N/A N/A</v>
        <stp/>
        <stp>BDH|6829901964479236596</stp>
        <tr r="Y86" s="3"/>
      </tp>
      <tp t="s">
        <v>#N/A N/A</v>
        <stp/>
        <stp>BDH|7274541917230322654</stp>
        <tr r="Q56" s="2"/>
      </tp>
      <tp t="s">
        <v>#N/A N/A</v>
        <stp/>
        <stp>BDH|3637140501431006642</stp>
        <tr r="W22" s="3"/>
      </tp>
      <tp t="s">
        <v>#N/A N/A</v>
        <stp/>
        <stp>BDH|9929739565204943919</stp>
        <tr r="G72" s="3"/>
      </tp>
      <tp t="s">
        <v>#N/A N/A</v>
        <stp/>
        <stp>BDH|5437671083496736801</stp>
        <tr r="O47" s="4"/>
      </tp>
      <tp t="s">
        <v>#N/A N/A</v>
        <stp/>
        <stp>BDH|4196563070352091107</stp>
        <tr r="R36" s="2"/>
      </tp>
      <tp t="s">
        <v>#N/A N/A</v>
        <stp/>
        <stp>BDH|4998434859890713033</stp>
        <tr r="X8" s="2"/>
      </tp>
      <tp t="s">
        <v>#N/A N/A</v>
        <stp/>
        <stp>BDH|7335937789986952571</stp>
        <tr r="X28" s="3"/>
      </tp>
      <tp t="s">
        <v>#N/A N/A</v>
        <stp/>
        <stp>BDH|7229136550953208545</stp>
        <tr r="Y18" s="2"/>
      </tp>
      <tp t="s">
        <v>#N/A N/A</v>
        <stp/>
        <stp>BDH|6879670532567858128</stp>
        <tr r="T59" s="3"/>
      </tp>
      <tp t="s">
        <v>#N/A N/A</v>
        <stp/>
        <stp>BDH|3380377745373791227</stp>
        <tr r="D54" s="4"/>
      </tp>
      <tp t="s">
        <v>#N/A N/A</v>
        <stp/>
        <stp>BDH|5266227473143629610</stp>
        <tr r="J89" s="3"/>
      </tp>
      <tp t="s">
        <v>#N/A N/A</v>
        <stp/>
        <stp>BDH|9672860173920796302</stp>
        <tr r="E20" s="3"/>
      </tp>
      <tp t="s">
        <v>#N/A N/A</v>
        <stp/>
        <stp>BDH|6396376666550599638</stp>
        <tr r="K19" s="3"/>
      </tp>
      <tp t="s">
        <v>#N/A N/A</v>
        <stp/>
        <stp>BDH|1650236166531794102</stp>
        <tr r="T40" s="2"/>
      </tp>
      <tp t="s">
        <v>#N/A N/A</v>
        <stp/>
        <stp>BDH|9795287553893888802</stp>
        <tr r="Q29" s="2"/>
      </tp>
      <tp t="s">
        <v>#N/A N/A</v>
        <stp/>
        <stp>BDH|1106146884088187540</stp>
        <tr r="W12" s="3"/>
      </tp>
      <tp t="s">
        <v>#N/A N/A</v>
        <stp/>
        <stp>BDH|3543122128891269496</stp>
        <tr r="N59" s="3"/>
      </tp>
      <tp t="s">
        <v>#N/A N/A</v>
        <stp/>
        <stp>BDH|8012716906763472979</stp>
        <tr r="J58" s="3"/>
      </tp>
      <tp t="s">
        <v>#N/A N/A</v>
        <stp/>
        <stp>BDH|7293775654474473406</stp>
        <tr r="O9" s="3"/>
      </tp>
      <tp t="s">
        <v>#N/A N/A</v>
        <stp/>
        <stp>BDH|9097933920662773511</stp>
        <tr r="S67" s="3"/>
      </tp>
      <tp t="s">
        <v>#N/A N/A</v>
        <stp/>
        <stp>BDH|3674167773407407728</stp>
        <tr r="C7" s="2"/>
      </tp>
      <tp t="s">
        <v>#N/A N/A</v>
        <stp/>
        <stp>BDH|1868431239106111569</stp>
        <tr r="S61" s="2"/>
      </tp>
      <tp t="s">
        <v>#N/A N/A</v>
        <stp/>
        <stp>BDH|8317057076478271184</stp>
        <tr r="T64" s="4"/>
      </tp>
      <tp t="s">
        <v>#N/A N/A</v>
        <stp/>
        <stp>BDH|2223283009304111282</stp>
        <tr r="K85" s="3"/>
      </tp>
      <tp t="s">
        <v>#N/A N/A</v>
        <stp/>
        <stp>BDH|7588910788862167277</stp>
        <tr r="D54" s="3"/>
      </tp>
      <tp t="s">
        <v>#N/A N/A</v>
        <stp/>
        <stp>BDH|4307310219188864896</stp>
        <tr r="M24" s="3"/>
      </tp>
      <tp t="s">
        <v>#N/A N/A</v>
        <stp/>
        <stp>BDH|1933040024245567065</stp>
        <tr r="K65" s="2"/>
      </tp>
      <tp t="s">
        <v>#N/A N/A</v>
        <stp/>
        <stp>BDH|3132047530262626493</stp>
        <tr r="T67" s="3"/>
      </tp>
      <tp t="s">
        <v>#N/A N/A</v>
        <stp/>
        <stp>BDH|1643276329252617546</stp>
        <tr r="Y63" s="4"/>
      </tp>
      <tp t="s">
        <v>#N/A N/A</v>
        <stp/>
        <stp>BDH|6914039906556047660</stp>
        <tr r="O43" s="2"/>
      </tp>
      <tp t="s">
        <v>#N/A N/A</v>
        <stp/>
        <stp>BDH|7881699148063289012</stp>
        <tr r="Q49" s="3"/>
      </tp>
      <tp t="s">
        <v>#N/A N/A</v>
        <stp/>
        <stp>BDH|4747232447845953106</stp>
        <tr r="K38" s="3"/>
      </tp>
      <tp t="s">
        <v>#N/A N/A</v>
        <stp/>
        <stp>BDH|2475179317074630080</stp>
        <tr r="G9" s="3"/>
      </tp>
      <tp t="s">
        <v>#N/A N/A</v>
        <stp/>
        <stp>BDH|2365092761473699175</stp>
        <tr r="Q61" s="4"/>
      </tp>
      <tp t="s">
        <v>#N/A N/A</v>
        <stp/>
        <stp>BDH|1515796206383430357</stp>
        <tr r="S27" s="2"/>
      </tp>
      <tp t="s">
        <v>#N/A N/A</v>
        <stp/>
        <stp>BDH|4971350903403554215</stp>
        <tr r="O72" s="2"/>
      </tp>
      <tp t="s">
        <v>#N/A N/A</v>
        <stp/>
        <stp>BDH|5221038639520032039</stp>
        <tr r="U52" s="2"/>
      </tp>
      <tp t="s">
        <v>#N/A N/A</v>
        <stp/>
        <stp>BDH|7407975199707758662</stp>
        <tr r="R93" s="3"/>
      </tp>
      <tp t="s">
        <v>#N/A N/A</v>
        <stp/>
        <stp>BDH|5748066629734362506</stp>
        <tr r="K24" s="4"/>
      </tp>
      <tp t="s">
        <v>#N/A N/A</v>
        <stp/>
        <stp>BDH|4339677863061916353</stp>
        <tr r="Y65" s="2"/>
      </tp>
      <tp t="s">
        <v>#N/A N/A</v>
        <stp/>
        <stp>BDH|6629329823265476488</stp>
        <tr r="L76" s="3"/>
      </tp>
      <tp t="s">
        <v>#N/A N/A</v>
        <stp/>
        <stp>BDH|8050561426931972820</stp>
        <tr r="Z14" s="4"/>
      </tp>
      <tp t="s">
        <v>#N/A N/A</v>
        <stp/>
        <stp>BDH|5642349849924009008</stp>
        <tr r="C62" s="4"/>
      </tp>
      <tp t="s">
        <v>#N/A N/A</v>
        <stp/>
        <stp>BDH|5238554008983345549</stp>
        <tr r="E59" s="4"/>
      </tp>
      <tp t="s">
        <v>#N/A N/A</v>
        <stp/>
        <stp>BDH|7364967772219660690</stp>
        <tr r="S24" s="3"/>
      </tp>
      <tp t="s">
        <v>#N/A N/A</v>
        <stp/>
        <stp>BDH|2726672065232536685</stp>
        <tr r="U61" s="3"/>
      </tp>
      <tp t="s">
        <v>#N/A N/A</v>
        <stp/>
        <stp>BDH|4215695743418768871</stp>
        <tr r="T11" s="4"/>
      </tp>
      <tp t="s">
        <v>#N/A N/A</v>
        <stp/>
        <stp>BDH|8368830363094280497</stp>
        <tr r="D30" s="2"/>
      </tp>
      <tp t="s">
        <v>#N/A N/A</v>
        <stp/>
        <stp>BDH|4473145018383193110</stp>
        <tr r="Y15" s="3"/>
      </tp>
      <tp t="s">
        <v>#N/A N/A</v>
        <stp/>
        <stp>BDH|9389091082526453141</stp>
        <tr r="M75" s="3"/>
      </tp>
      <tp t="s">
        <v>#N/A N/A</v>
        <stp/>
        <stp>BDH|7046369641635618392</stp>
        <tr r="Q70" s="3"/>
      </tp>
      <tp t="s">
        <v>#N/A N/A</v>
        <stp/>
        <stp>BDH|5837746669846968440</stp>
        <tr r="M48" s="3"/>
      </tp>
      <tp t="s">
        <v>#N/A N/A</v>
        <stp/>
        <stp>BDH|4171448337006359391</stp>
        <tr r="J17" s="4"/>
      </tp>
      <tp t="s">
        <v>#N/A N/A</v>
        <stp/>
        <stp>BDH|3181192629410888604</stp>
        <tr r="M78" s="3"/>
      </tp>
      <tp t="s">
        <v>#N/A N/A</v>
        <stp/>
        <stp>BDH|3179630893393037985</stp>
        <tr r="G16" s="4"/>
      </tp>
      <tp t="s">
        <v>#N/A N/A</v>
        <stp/>
        <stp>BDH|6011400538646651176</stp>
        <tr r="T18" s="4"/>
      </tp>
      <tp t="s">
        <v>#N/A N/A</v>
        <stp/>
        <stp>BDH|2634354702142000581</stp>
        <tr r="W23" s="2"/>
      </tp>
      <tp t="s">
        <v>#N/A N/A</v>
        <stp/>
        <stp>BDH|3262791603190788266</stp>
        <tr r="G33" s="3"/>
      </tp>
      <tp t="s">
        <v>#N/A N/A</v>
        <stp/>
        <stp>BDH|1754493915890256201</stp>
        <tr r="S63" s="2"/>
      </tp>
      <tp t="s">
        <v>#N/A N/A</v>
        <stp/>
        <stp>BDH|2706335547666243588</stp>
        <tr r="M35" s="2"/>
        <tr r="M47" s="2"/>
      </tp>
      <tp t="s">
        <v>#N/A N/A</v>
        <stp/>
        <stp>BDH|7316829139319037316</stp>
        <tr r="W68" s="2"/>
      </tp>
      <tp t="s">
        <v>#N/A N/A</v>
        <stp/>
        <stp>BDH|8550967130586981231</stp>
        <tr r="I36" s="2"/>
      </tp>
      <tp t="s">
        <v>#N/A N/A</v>
        <stp/>
        <stp>BDH|4943165800703449055</stp>
        <tr r="Z22" s="2"/>
      </tp>
      <tp t="s">
        <v>#N/A N/A</v>
        <stp/>
        <stp>BDH|1822928272278233140</stp>
        <tr r="M38" s="2"/>
      </tp>
      <tp t="s">
        <v>#N/A N/A</v>
        <stp/>
        <stp>BDH|2369597250450166458</stp>
        <tr r="M45" s="3"/>
      </tp>
      <tp t="s">
        <v>#N/A N/A</v>
        <stp/>
        <stp>BDH|3879472722956322503</stp>
        <tr r="M27" s="3"/>
      </tp>
      <tp t="s">
        <v>#N/A N/A</v>
        <stp/>
        <stp>BDH|5733183056462685510</stp>
        <tr r="Z17" s="2"/>
      </tp>
      <tp t="s">
        <v>#N/A N/A</v>
        <stp/>
        <stp>BDH|3581473817809942928</stp>
        <tr r="E7" s="2"/>
      </tp>
      <tp t="s">
        <v>#N/A N/A</v>
        <stp/>
        <stp>BDH|7173391897483750876</stp>
        <tr r="Q60" s="4"/>
      </tp>
      <tp t="s">
        <v>#N/A N/A</v>
        <stp/>
        <stp>BDH|3896405212403205371</stp>
        <tr r="F29" s="3"/>
      </tp>
      <tp t="s">
        <v>#N/A N/A</v>
        <stp/>
        <stp>BDH|2379729144064805327</stp>
        <tr r="R72" s="3"/>
      </tp>
      <tp t="s">
        <v>#N/A N/A</v>
        <stp/>
        <stp>BDH|7875080738737154568</stp>
        <tr r="L64" s="4"/>
      </tp>
      <tp t="s">
        <v>#N/A N/A</v>
        <stp/>
        <stp>BDH|5867653721522088536</stp>
        <tr r="U10" s="2"/>
      </tp>
      <tp t="s">
        <v>#N/A N/A</v>
        <stp/>
        <stp>BDH|1840184949306477415</stp>
        <tr r="X48" s="4"/>
      </tp>
      <tp t="s">
        <v>#N/A N/A</v>
        <stp/>
        <stp>BDH|6461112556130850472</stp>
        <tr r="Y42" s="4"/>
      </tp>
      <tp t="s">
        <v>#N/A N/A</v>
        <stp/>
        <stp>BDH|1937424238542657290</stp>
        <tr r="T19" s="3"/>
      </tp>
      <tp t="s">
        <v>#N/A N/A</v>
        <stp/>
        <stp>BDH|1604387265837413537</stp>
        <tr r="H34" s="4"/>
      </tp>
      <tp t="s">
        <v>#N/A N/A</v>
        <stp/>
        <stp>BDH|9922911106600599674</stp>
        <tr r="F73" s="3"/>
      </tp>
      <tp t="s">
        <v>#N/A N/A</v>
        <stp/>
        <stp>BDH|2201296060537282750</stp>
        <tr r="K26" s="2"/>
      </tp>
      <tp t="s">
        <v>#N/A N/A</v>
        <stp/>
        <stp>BDH|7994015959016976240</stp>
        <tr r="W33" s="4"/>
      </tp>
      <tp t="s">
        <v>#N/A N/A</v>
        <stp/>
        <stp>BDH|1932764775895233246</stp>
        <tr r="E45" s="4"/>
      </tp>
      <tp t="s">
        <v>#N/A N/A</v>
        <stp/>
        <stp>BDH|5081640641394153583</stp>
        <tr r="X93" s="3"/>
      </tp>
      <tp t="s">
        <v>#N/A N/A</v>
        <stp/>
        <stp>BDH|8988298959259073059</stp>
        <tr r="Q63" s="4"/>
      </tp>
      <tp t="s">
        <v>#N/A N/A</v>
        <stp/>
        <stp>BDH|4212698603036529214</stp>
        <tr r="W71" s="3"/>
      </tp>
      <tp t="s">
        <v>#N/A N/A</v>
        <stp/>
        <stp>BDH|1624689301405161427</stp>
        <tr r="T47" s="3"/>
      </tp>
      <tp t="s">
        <v>#N/A N/A</v>
        <stp/>
        <stp>BDH|2623944855251386982</stp>
        <tr r="U92" s="3"/>
      </tp>
      <tp t="s">
        <v>#N/A N/A</v>
        <stp/>
        <stp>BDH|8910602924478778270</stp>
        <tr r="P42" s="2"/>
      </tp>
      <tp t="s">
        <v>#N/A N/A</v>
        <stp/>
        <stp>BDH|4777557487067966813</stp>
        <tr r="Q51" s="3"/>
      </tp>
      <tp t="s">
        <v>#N/A N/A</v>
        <stp/>
        <stp>BDH|7352389347883772566</stp>
        <tr r="Z39" s="2"/>
      </tp>
      <tp t="s">
        <v>#N/A N/A</v>
        <stp/>
        <stp>BDH|6563756822091946460</stp>
        <tr r="Y38" s="3"/>
      </tp>
      <tp t="s">
        <v>#N/A N/A</v>
        <stp/>
        <stp>BDH|9070280289967502299</stp>
        <tr r="M60" s="4"/>
      </tp>
      <tp t="s">
        <v>#N/A N/A</v>
        <stp/>
        <stp>BDH|4275693454539434864</stp>
        <tr r="W12" s="4"/>
      </tp>
      <tp t="s">
        <v>#N/A N/A</v>
        <stp/>
        <stp>BDH|7897012264740806785</stp>
        <tr r="T56" s="2"/>
      </tp>
      <tp t="s">
        <v>#N/A N/A</v>
        <stp/>
        <stp>BDH|2153326624626999336</stp>
        <tr r="F69" s="3"/>
      </tp>
      <tp t="s">
        <v>#N/A N/A</v>
        <stp/>
        <stp>BDH|7700661831160994443</stp>
        <tr r="S13" s="4"/>
      </tp>
      <tp t="s">
        <v>#N/A N/A</v>
        <stp/>
        <stp>BDH|2945227611945613216</stp>
        <tr r="U60" s="3"/>
      </tp>
      <tp t="s">
        <v>#N/A N/A</v>
        <stp/>
        <stp>BDH|3867650141024285330</stp>
        <tr r="J9" s="3"/>
      </tp>
      <tp t="s">
        <v>#N/A N/A</v>
        <stp/>
        <stp>BDH|1925027839926761284</stp>
        <tr r="M25" s="2"/>
      </tp>
      <tp t="s">
        <v>#N/A N/A</v>
        <stp/>
        <stp>BDH|3805239040087342453</stp>
        <tr r="C43" s="2"/>
      </tp>
      <tp t="s">
        <v>#N/A N/A</v>
        <stp/>
        <stp>BDH|1320702050094005110</stp>
        <tr r="L23" s="3"/>
      </tp>
      <tp t="s">
        <v>#N/A N/A</v>
        <stp/>
        <stp>BDH|9228570447217578955</stp>
        <tr r="Y45" s="3"/>
      </tp>
      <tp t="s">
        <v>#N/A N/A</v>
        <stp/>
        <stp>BDH|3364644525682478341</stp>
        <tr r="L13" s="4"/>
      </tp>
      <tp t="s">
        <v>#N/A N/A</v>
        <stp/>
        <stp>BDH|1516202017033718777</stp>
        <tr r="K74" s="3"/>
      </tp>
      <tp t="s">
        <v>#N/A N/A</v>
        <stp/>
        <stp>BDH|3420040003553649677</stp>
        <tr r="W11" s="2"/>
      </tp>
      <tp t="s">
        <v>#N/A N/A</v>
        <stp/>
        <stp>BDH|5613680959591265174</stp>
        <tr r="T69" s="2"/>
      </tp>
      <tp t="s">
        <v>#N/A N/A</v>
        <stp/>
        <stp>BDH|2748702420688654933</stp>
        <tr r="E69" s="2"/>
      </tp>
      <tp t="s">
        <v>#N/A N/A</v>
        <stp/>
        <stp>BDH|4184539830644479046</stp>
        <tr r="Z13" s="2"/>
      </tp>
      <tp t="s">
        <v>#N/A N/A</v>
        <stp/>
        <stp>BDH|7921355854300258787</stp>
        <tr r="I56" s="2"/>
      </tp>
      <tp t="s">
        <v>#N/A N/A</v>
        <stp/>
        <stp>BDH|7441357345365029364</stp>
        <tr r="J46" s="4"/>
      </tp>
      <tp t="s">
        <v>#N/A N/A</v>
        <stp/>
        <stp>BDH|3241350018865472291</stp>
        <tr r="Q66" s="4"/>
      </tp>
      <tp t="s">
        <v>#N/A N/A</v>
        <stp/>
        <stp>BDH|6067625195539487614</stp>
        <tr r="P43" s="4"/>
      </tp>
      <tp t="s">
        <v>#N/A N/A</v>
        <stp/>
        <stp>BDH|4225545910930216665</stp>
        <tr r="C12" s="4"/>
      </tp>
      <tp t="s">
        <v>#N/A N/A</v>
        <stp/>
        <stp>BDH|4518850584064590632</stp>
        <tr r="H62" s="2"/>
      </tp>
      <tp t="s">
        <v>#N/A N/A</v>
        <stp/>
        <stp>BDH|7156761707176410069</stp>
        <tr r="C88" s="3"/>
      </tp>
      <tp t="s">
        <v>#N/A N/A</v>
        <stp/>
        <stp>BDH|6471397069183671609</stp>
        <tr r="X27" s="2"/>
      </tp>
      <tp t="s">
        <v>#N/A N/A</v>
        <stp/>
        <stp>BDH|3240678580058155367</stp>
        <tr r="S17" s="2"/>
      </tp>
      <tp t="s">
        <v>#N/A N/A</v>
        <stp/>
        <stp>BDH|7642598960871524388</stp>
        <tr r="F7" s="4"/>
      </tp>
      <tp t="s">
        <v>#N/A N/A</v>
        <stp/>
        <stp>BDH|3028621346022215551</stp>
        <tr r="R31" s="3"/>
      </tp>
      <tp t="s">
        <v>#N/A N/A</v>
        <stp/>
        <stp>BDH|8769174083170110711</stp>
        <tr r="R71" s="3"/>
      </tp>
      <tp t="s">
        <v>#N/A N/A</v>
        <stp/>
        <stp>BDH|8347367136588385634</stp>
        <tr r="F36" s="2"/>
      </tp>
      <tp t="s">
        <v>#N/A N/A</v>
        <stp/>
        <stp>BDH|3886146620136962064</stp>
        <tr r="G90" s="3"/>
      </tp>
      <tp t="s">
        <v>#N/A N/A</v>
        <stp/>
        <stp>BDH|4791309551705381163</stp>
        <tr r="W65" s="3"/>
      </tp>
      <tp t="s">
        <v>#N/A N/A</v>
        <stp/>
        <stp>BDH|6548980974138298680</stp>
        <tr r="J83" s="3"/>
      </tp>
      <tp t="s">
        <v>#N/A N/A</v>
        <stp/>
        <stp>BDH|5765138012900494310</stp>
        <tr r="H49" s="4"/>
      </tp>
      <tp t="s">
        <v>#N/A N/A</v>
        <stp/>
        <stp>BDH|7431711547071251339</stp>
        <tr r="T41" s="3"/>
      </tp>
      <tp t="s">
        <v>#N/A N/A</v>
        <stp/>
        <stp>BDH|4479073575025339054</stp>
        <tr r="D65" s="3"/>
      </tp>
      <tp t="s">
        <v>#N/A N/A</v>
        <stp/>
        <stp>BDH|1358452432110615021</stp>
        <tr r="D25" s="4"/>
      </tp>
      <tp t="s">
        <v>#N/A N/A</v>
        <stp/>
        <stp>BDH|7227498840702845330</stp>
        <tr r="Z74" s="3"/>
      </tp>
      <tp t="s">
        <v>#N/A N/A</v>
        <stp/>
        <stp>BDH|1597605726633270015</stp>
        <tr r="T15" s="2"/>
      </tp>
      <tp t="s">
        <v>#N/A N/A</v>
        <stp/>
        <stp>BDH|2447417317543593277</stp>
        <tr r="V63" s="3"/>
      </tp>
      <tp t="s">
        <v>#N/A N/A</v>
        <stp/>
        <stp>BDH|3416317464839621977</stp>
        <tr r="V45" s="4"/>
      </tp>
      <tp t="s">
        <v>#N/A N/A</v>
        <stp/>
        <stp>BDH|4555566270648006838</stp>
        <tr r="V64" s="4"/>
      </tp>
      <tp t="s">
        <v>#N/A N/A</v>
        <stp/>
        <stp>BDH|2633787940921745694</stp>
        <tr r="T27" s="4"/>
      </tp>
      <tp t="s">
        <v>#N/A N/A</v>
        <stp/>
        <stp>BDH|1759010743414292774</stp>
        <tr r="K15" s="3"/>
      </tp>
      <tp t="s">
        <v>#N/A N/A</v>
        <stp/>
        <stp>BDH|6341330051486648064</stp>
        <tr r="S18" s="4"/>
      </tp>
      <tp t="s">
        <v>#N/A N/A</v>
        <stp/>
        <stp>BDH|7166000956635382158</stp>
        <tr r="Y13" s="3"/>
      </tp>
      <tp t="s">
        <v>#N/A N/A</v>
        <stp/>
        <stp>BDH|8309075987410433666</stp>
        <tr r="T57" s="2"/>
      </tp>
      <tp t="s">
        <v>#N/A N/A</v>
        <stp/>
        <stp>BDH|7894887581974069505</stp>
        <tr r="R66" s="2"/>
      </tp>
      <tp t="s">
        <v>#N/A N/A</v>
        <stp/>
        <stp>BDH|6359788634111804568</stp>
        <tr r="W30" s="2"/>
      </tp>
      <tp t="s">
        <v>#N/A N/A</v>
        <stp/>
        <stp>BDH|6558514649360913157</stp>
        <tr r="P55" s="3"/>
      </tp>
      <tp t="s">
        <v>#N/A N/A</v>
        <stp/>
        <stp>BDH|1954645929950575306</stp>
        <tr r="C43" s="4"/>
      </tp>
      <tp t="s">
        <v>#N/A N/A</v>
        <stp/>
        <stp>BDH|3043694631249984900</stp>
        <tr r="I29" s="2"/>
      </tp>
      <tp t="s">
        <v>#N/A N/A</v>
        <stp/>
        <stp>BDH|8058038778199351093</stp>
        <tr r="M52" s="4"/>
      </tp>
      <tp t="s">
        <v>#N/A N/A</v>
        <stp/>
        <stp>BDH|4482565462856282737</stp>
        <tr r="J34" s="4"/>
      </tp>
      <tp t="s">
        <v>#N/A N/A</v>
        <stp/>
        <stp>BDH|7087237824735452427</stp>
        <tr r="M32" s="4"/>
      </tp>
      <tp t="s">
        <v>#N/A N/A</v>
        <stp/>
        <stp>BDH|7242222064694282172</stp>
        <tr r="U58" s="3"/>
      </tp>
      <tp t="s">
        <v>#N/A N/A</v>
        <stp/>
        <stp>BDH|2382056098194861974</stp>
        <tr r="X57" s="2"/>
      </tp>
      <tp t="s">
        <v>#N/A N/A</v>
        <stp/>
        <stp>BDH|9817293058541186993</stp>
        <tr r="D12" s="4"/>
      </tp>
      <tp t="s">
        <v>#N/A N/A</v>
        <stp/>
        <stp>BDH|5308335795091033848</stp>
        <tr r="D27" s="4"/>
      </tp>
      <tp t="s">
        <v>#N/A N/A</v>
        <stp/>
        <stp>BDH|6582976920419539267</stp>
        <tr r="U76" s="3"/>
      </tp>
      <tp t="s">
        <v>#N/A N/A</v>
        <stp/>
        <stp>BDH|1221386928152449400</stp>
        <tr r="X67" s="3"/>
      </tp>
      <tp t="s">
        <v>#N/A N/A</v>
        <stp/>
        <stp>BDH|1046070810440057615</stp>
        <tr r="T59" s="4"/>
      </tp>
      <tp t="s">
        <v>#N/A N/A</v>
        <stp/>
        <stp>BDH|9005542156498400705</stp>
        <tr r="G41" s="4"/>
      </tp>
      <tp t="s">
        <v>#N/A N/A</v>
        <stp/>
        <stp>BDH|8359341891935290121</stp>
        <tr r="T44" s="3"/>
      </tp>
      <tp t="s">
        <v>#N/A N/A</v>
        <stp/>
        <stp>BDH|7670250072645669112</stp>
        <tr r="R60" s="3"/>
      </tp>
      <tp t="s">
        <v>#N/A N/A</v>
        <stp/>
        <stp>BDH|6461703903512426557</stp>
        <tr r="Y13" s="4"/>
      </tp>
      <tp t="s">
        <v>#N/A N/A</v>
        <stp/>
        <stp>BDH|4522691073780114383</stp>
        <tr r="Z41" s="4"/>
      </tp>
      <tp t="s">
        <v>#N/A N/A</v>
        <stp/>
        <stp>BDH|2515697014817745492</stp>
        <tr r="H48" s="4"/>
      </tp>
      <tp t="s">
        <v>#N/A N/A</v>
        <stp/>
        <stp>BDH|5357441929975931011</stp>
        <tr r="Z51" s="2"/>
      </tp>
      <tp t="s">
        <v>#N/A N/A</v>
        <stp/>
        <stp>BDH|7350129533095637621</stp>
        <tr r="M26" s="4"/>
      </tp>
      <tp t="s">
        <v>#N/A N/A</v>
        <stp/>
        <stp>BDH|7387240162292193733</stp>
        <tr r="N45" s="3"/>
      </tp>
      <tp t="s">
        <v>#N/A N/A</v>
        <stp/>
        <stp>BDH|2527391657602924055</stp>
        <tr r="G71" s="3"/>
      </tp>
      <tp t="s">
        <v>#N/A N/A</v>
        <stp/>
        <stp>BDH|9700036516317566904</stp>
        <tr r="J18" s="3"/>
      </tp>
      <tp t="s">
        <v>#N/A N/A</v>
        <stp/>
        <stp>BDH|4824406873557503697</stp>
        <tr r="L46" s="2"/>
      </tp>
      <tp t="s">
        <v>#N/A N/A</v>
        <stp/>
        <stp>BDH|3170958992161905487</stp>
        <tr r="X54" s="2"/>
      </tp>
      <tp t="s">
        <v>#N/A N/A</v>
        <stp/>
        <stp>BDH|6577368377593605750</stp>
        <tr r="T62" s="3"/>
      </tp>
      <tp t="s">
        <v>#N/A N/A</v>
        <stp/>
        <stp>BDH|3357147322890098617</stp>
        <tr r="N24" s="3"/>
      </tp>
      <tp t="s">
        <v>#N/A N/A</v>
        <stp/>
        <stp>BDH|5441651164694467751</stp>
        <tr r="K52" s="4"/>
      </tp>
      <tp t="s">
        <v>#N/A N/A</v>
        <stp/>
        <stp>BDH|7599238314627421523</stp>
        <tr r="R26" s="4"/>
      </tp>
      <tp t="s">
        <v>#N/A N/A</v>
        <stp/>
        <stp>BDH|6248642493277375828</stp>
        <tr r="Q82" s="3"/>
      </tp>
      <tp t="s">
        <v>#N/A N/A</v>
        <stp/>
        <stp>BDH|3386027333416476023</stp>
        <tr r="C50" s="3"/>
      </tp>
      <tp t="s">
        <v>#N/A N/A</v>
        <stp/>
        <stp>BDH|3715652428302840374</stp>
        <tr r="S94" s="3"/>
      </tp>
      <tp t="s">
        <v>#N/A N/A</v>
        <stp/>
        <stp>BDH|7690269190092340867</stp>
        <tr r="I75" s="3"/>
      </tp>
      <tp t="s">
        <v>#N/A N/A</v>
        <stp/>
        <stp>BDH|8945356003209235487</stp>
        <tr r="P40" s="2"/>
      </tp>
      <tp t="s">
        <v>#N/A N/A</v>
        <stp/>
        <stp>BDH|9499933935445390040</stp>
        <tr r="D61" s="2"/>
      </tp>
      <tp t="s">
        <v>#N/A N/A</v>
        <stp/>
        <stp>BDH|7528818592987025736</stp>
        <tr r="E86" s="3"/>
      </tp>
      <tp t="s">
        <v>#N/A N/A</v>
        <stp/>
        <stp>BDH|9159838085158671743</stp>
        <tr r="O22" s="2"/>
      </tp>
      <tp t="s">
        <v>#N/A N/A</v>
        <stp/>
        <stp>BDH|4712868583254531623</stp>
        <tr r="R52" s="2"/>
      </tp>
      <tp t="s">
        <v>#N/A N/A</v>
        <stp/>
        <stp>BDH|2791132041357530657</stp>
        <tr r="E38" s="3"/>
      </tp>
      <tp t="s">
        <v>#N/A N/A</v>
        <stp/>
        <stp>BDH|95976554535642268</stp>
        <tr r="R23" s="3"/>
      </tp>
      <tp t="s">
        <v>#N/A N/A</v>
        <stp/>
        <stp>BDH|1867535726002684318</stp>
        <tr r="Y71" s="3"/>
      </tp>
      <tp t="s">
        <v>#N/A N/A</v>
        <stp/>
        <stp>BDH|6439957019229250001</stp>
        <tr r="X11" s="4"/>
      </tp>
      <tp t="s">
        <v>#N/A N/A</v>
        <stp/>
        <stp>BDH|6845169057176309309</stp>
        <tr r="P53" s="3"/>
      </tp>
      <tp t="s">
        <v>#N/A N/A</v>
        <stp/>
        <stp>BDH|6925392658836461167</stp>
        <tr r="O27" s="2"/>
      </tp>
      <tp t="s">
        <v>#N/A N/A</v>
        <stp/>
        <stp>BDH|2758191562092326059</stp>
        <tr r="L34" s="4"/>
      </tp>
      <tp t="s">
        <v>#N/A N/A</v>
        <stp/>
        <stp>BDH|3060159663322978155</stp>
        <tr r="C61" s="4"/>
      </tp>
      <tp t="s">
        <v>#N/A N/A</v>
        <stp/>
        <stp>BDH|9010682261559423765</stp>
        <tr r="V61" s="3"/>
      </tp>
      <tp t="s">
        <v>#N/A N/A</v>
        <stp/>
        <stp>BDH|2550485709163654295</stp>
        <tr r="K27" s="3"/>
      </tp>
      <tp t="s">
        <v>#N/A N/A</v>
        <stp/>
        <stp>BDH|3016614925810654099</stp>
        <tr r="F43" s="4"/>
      </tp>
      <tp t="s">
        <v>#N/A N/A</v>
        <stp/>
        <stp>BDH|3711977796555979147</stp>
        <tr r="E50" s="2"/>
      </tp>
      <tp t="s">
        <v>#N/A N/A</v>
        <stp/>
        <stp>BDH|7017500343232809306</stp>
        <tr r="J37" s="2"/>
      </tp>
      <tp t="s">
        <v>#N/A N/A</v>
        <stp/>
        <stp>BDH|4697358377531608691</stp>
        <tr r="C72" s="2"/>
      </tp>
      <tp t="s">
        <v>#N/A N/A</v>
        <stp/>
        <stp>BDH|8680825637974186095</stp>
        <tr r="O87" s="3"/>
      </tp>
      <tp t="s">
        <v>#N/A N/A</v>
        <stp/>
        <stp>BDH|9651153871959957101</stp>
        <tr r="Q54" s="3"/>
      </tp>
      <tp t="s">
        <v>#N/A N/A</v>
        <stp/>
        <stp>BDH|2601185061145680721</stp>
        <tr r="P7" s="2"/>
      </tp>
      <tp t="s">
        <v>#N/A N/A</v>
        <stp/>
        <stp>BDH|3330601277570927568</stp>
        <tr r="P45" s="4"/>
      </tp>
      <tp t="s">
        <v>#N/A N/A</v>
        <stp/>
        <stp>BDH|1351399520244728361</stp>
        <tr r="L44" s="3"/>
      </tp>
      <tp t="s">
        <v>#N/A N/A</v>
        <stp/>
        <stp>BDH|3035380367356394775</stp>
        <tr r="X17" s="4"/>
      </tp>
      <tp t="s">
        <v>#N/A N/A</v>
        <stp/>
        <stp>BDH|8865638955494373863</stp>
        <tr r="P71" s="2"/>
      </tp>
      <tp t="s">
        <v>#N/A N/A</v>
        <stp/>
        <stp>BDH|7804757543764222741</stp>
        <tr r="V44" s="4"/>
      </tp>
      <tp t="s">
        <v>#N/A N/A</v>
        <stp/>
        <stp>BDH|6784012139626009479</stp>
        <tr r="Q89" s="3"/>
      </tp>
      <tp t="s">
        <v>#N/A N/A</v>
        <stp/>
        <stp>BDH|8983118795173507406</stp>
        <tr r="L54" s="2"/>
      </tp>
      <tp t="s">
        <v>#N/A N/A</v>
        <stp/>
        <stp>BDH|2825306059266066597</stp>
        <tr r="T20" s="3"/>
      </tp>
      <tp t="s">
        <v>#N/A N/A</v>
        <stp/>
        <stp>BDH|8533036946492144992</stp>
        <tr r="L8" s="4"/>
      </tp>
      <tp t="s">
        <v>#N/A N/A</v>
        <stp/>
        <stp>BDH|2680055148786649758</stp>
        <tr r="N10" s="2"/>
      </tp>
      <tp t="s">
        <v>#N/A N/A</v>
        <stp/>
        <stp>BDH|3296491144340035471</stp>
        <tr r="X68" s="2"/>
      </tp>
      <tp t="s">
        <v>#N/A N/A</v>
        <stp/>
        <stp>BDH|7400025468041378759</stp>
        <tr r="V49" s="2"/>
      </tp>
      <tp t="s">
        <v>#N/A N/A</v>
        <stp/>
        <stp>BDH|7049188704251689036</stp>
        <tr r="Q24" s="3"/>
      </tp>
      <tp t="s">
        <v>#N/A N/A</v>
        <stp/>
        <stp>BDH|5806521933773577751</stp>
        <tr r="X55" s="2"/>
      </tp>
      <tp t="s">
        <v>#N/A N/A</v>
        <stp/>
        <stp>BDH|1433622484311950924</stp>
        <tr r="F94" s="3"/>
      </tp>
      <tp t="s">
        <v>#N/A N/A</v>
        <stp/>
        <stp>BDH|1629442051540827724</stp>
        <tr r="I52" s="4"/>
      </tp>
      <tp t="s">
        <v>#N/A N/A</v>
        <stp/>
        <stp>BDH|3924487353913987626</stp>
        <tr r="U48" s="4"/>
      </tp>
      <tp t="s">
        <v>#N/A N/A</v>
        <stp/>
        <stp>BDH|4107812108519657276</stp>
        <tr r="P23" s="4"/>
      </tp>
      <tp t="s">
        <v>#N/A N/A</v>
        <stp/>
        <stp>BDH|7224940569856296947</stp>
        <tr r="W42" s="4"/>
      </tp>
      <tp t="s">
        <v>#N/A N/A</v>
        <stp/>
        <stp>BDH|5917641127603752544</stp>
        <tr r="P62" s="4"/>
      </tp>
      <tp t="s">
        <v>#N/A N/A</v>
        <stp/>
        <stp>BDH|8937240426158300715</stp>
        <tr r="V66" s="2"/>
      </tp>
      <tp t="s">
        <v>#N/A N/A</v>
        <stp/>
        <stp>BDH|8905365928978633688</stp>
        <tr r="F91" s="3"/>
      </tp>
      <tp t="s">
        <v>#N/A N/A</v>
        <stp/>
        <stp>BDH|9221748703671436889</stp>
        <tr r="S65" s="3"/>
      </tp>
      <tp t="s">
        <v>#N/A N/A</v>
        <stp/>
        <stp>BDH|2910369357280162304</stp>
        <tr r="K64" s="2"/>
      </tp>
      <tp t="s">
        <v>#N/A N/A</v>
        <stp/>
        <stp>BDH|7734888181259702905</stp>
        <tr r="C55" s="3"/>
      </tp>
      <tp t="s">
        <v>#N/A N/A</v>
        <stp/>
        <stp>BDH|4917435201994266307</stp>
        <tr r="J63" s="4"/>
      </tp>
      <tp t="s">
        <v>#N/A N/A</v>
        <stp/>
        <stp>BDH|3979903997011155514</stp>
        <tr r="S50" s="3"/>
      </tp>
      <tp t="s">
        <v>#N/A N/A</v>
        <stp/>
        <stp>BDH|4836026251246074057</stp>
        <tr r="F57" s="3"/>
      </tp>
      <tp t="s">
        <v>#N/A N/A</v>
        <stp/>
        <stp>BDH|3145316305164933327</stp>
        <tr r="Z48" s="3"/>
      </tp>
      <tp t="s">
        <v>#N/A N/A</v>
        <stp/>
        <stp>BDH|1806901800056659902</stp>
        <tr r="X26" s="3"/>
      </tp>
      <tp t="s">
        <v>#N/A N/A</v>
        <stp/>
        <stp>BDH|1727562861440650587</stp>
        <tr r="J47" s="3"/>
      </tp>
      <tp t="s">
        <v>#N/A N/A</v>
        <stp/>
        <stp>BDH|7977897495885828433</stp>
        <tr r="M54" s="4"/>
      </tp>
      <tp t="s">
        <v>#N/A N/A</v>
        <stp/>
        <stp>BDH|3467008886854959859</stp>
        <tr r="U47" s="4"/>
      </tp>
      <tp t="s">
        <v>#N/A N/A</v>
        <stp/>
        <stp>BDH|3883530474946379029</stp>
        <tr r="Y46" s="4"/>
      </tp>
      <tp t="s">
        <v>#N/A N/A</v>
        <stp/>
        <stp>BDH|7578545478834631608</stp>
        <tr r="W67" s="2"/>
      </tp>
      <tp t="s">
        <v>#N/A N/A</v>
        <stp/>
        <stp>BDH|3982683449591786707</stp>
        <tr r="G18" s="2"/>
      </tp>
      <tp t="s">
        <v>#N/A N/A</v>
        <stp/>
        <stp>BDH|1873368210821141503</stp>
        <tr r="G47" s="4"/>
      </tp>
      <tp t="s">
        <v>#N/A N/A</v>
        <stp/>
        <stp>BDH|3256243468106748660</stp>
        <tr r="Z9" s="4"/>
      </tp>
      <tp t="s">
        <v>#N/A N/A</v>
        <stp/>
        <stp>BDH|4487787353538776978</stp>
        <tr r="H60" s="4"/>
      </tp>
      <tp t="s">
        <v>#N/A N/A</v>
        <stp/>
        <stp>BDH|3094158467082469190</stp>
        <tr r="R34" s="4"/>
      </tp>
      <tp t="s">
        <v>#N/A N/A</v>
        <stp/>
        <stp>BDH|2122236140315827653</stp>
        <tr r="W66" s="4"/>
      </tp>
      <tp t="s">
        <v>#N/A N/A</v>
        <stp/>
        <stp>BDH|9187804805540271698</stp>
        <tr r="S17" s="3"/>
      </tp>
      <tp t="s">
        <v>#N/A N/A</v>
        <stp/>
        <stp>BDH|4163706118825310050</stp>
        <tr r="C23" s="4"/>
      </tp>
      <tp t="s">
        <v>#N/A N/A</v>
        <stp/>
        <stp>BDH|8425879161127438692</stp>
        <tr r="E24" s="4"/>
      </tp>
      <tp t="s">
        <v>#N/A N/A</v>
        <stp/>
        <stp>BDH|6968441971855394709</stp>
        <tr r="I41" s="2"/>
      </tp>
      <tp t="s">
        <v>#N/A N/A</v>
        <stp/>
        <stp>BDH|4651797672366053513</stp>
        <tr r="Z71" s="3"/>
      </tp>
      <tp t="s">
        <v>#N/A N/A</v>
        <stp/>
        <stp>BDH|5747717349602239311</stp>
        <tr r="E55" s="2"/>
      </tp>
      <tp t="s">
        <v>#N/A N/A</v>
        <stp/>
        <stp>BDH|6418686162647740653</stp>
        <tr r="J18" s="2"/>
      </tp>
      <tp t="s">
        <v>#N/A N/A</v>
        <stp/>
        <stp>BDH|7966649412240600755</stp>
        <tr r="C31" s="3"/>
      </tp>
      <tp t="s">
        <v>#N/A N/A</v>
        <stp/>
        <stp>BDH|2021348686458613682</stp>
        <tr r="X65" s="2"/>
      </tp>
      <tp t="s">
        <v>#N/A N/A</v>
        <stp/>
        <stp>BDH|6650032830157813519</stp>
        <tr r="W69" s="3"/>
      </tp>
      <tp t="s">
        <v>#N/A N/A</v>
        <stp/>
        <stp>BDH|4683786121466290000</stp>
        <tr r="K8" s="2"/>
      </tp>
      <tp t="s">
        <v>#N/A N/A</v>
        <stp/>
        <stp>BDH|7158676097318441787</stp>
        <tr r="T41" s="2"/>
      </tp>
      <tp t="s">
        <v>#N/A N/A</v>
        <stp/>
        <stp>BDH|3693098218674968137</stp>
        <tr r="M34" s="3"/>
      </tp>
      <tp t="s">
        <v>#N/A N/A</v>
        <stp/>
        <stp>BDH|2659388516140178743</stp>
        <tr r="G24" s="4"/>
      </tp>
      <tp t="s">
        <v>#N/A N/A</v>
        <stp/>
        <stp>BDH|4594377579052403523</stp>
        <tr r="Z34" s="2"/>
      </tp>
      <tp t="s">
        <v>#N/A N/A</v>
        <stp/>
        <stp>BDH|7550707155196476499</stp>
        <tr r="Z49" s="2"/>
      </tp>
      <tp t="s">
        <v>#N/A N/A</v>
        <stp/>
        <stp>BDH|2859141879203092081</stp>
        <tr r="V21" s="4"/>
      </tp>
      <tp t="s">
        <v>#N/A N/A</v>
        <stp/>
        <stp>BDH|5888609484545646981</stp>
        <tr r="M7" s="4"/>
      </tp>
      <tp t="s">
        <v>#N/A N/A</v>
        <stp/>
        <stp>BDH|6508401761077556434</stp>
        <tr r="V35" s="3"/>
      </tp>
      <tp t="s">
        <v>#N/A N/A</v>
        <stp/>
        <stp>BDH|6237477413103356773</stp>
        <tr r="S62" s="4"/>
      </tp>
      <tp t="s">
        <v>#N/A N/A</v>
        <stp/>
        <stp>BDH|7053345145001158626</stp>
        <tr r="M87" s="3"/>
      </tp>
      <tp t="s">
        <v>#N/A N/A</v>
        <stp/>
        <stp>BDH|6857884877579076757</stp>
        <tr r="X69" s="2"/>
      </tp>
      <tp t="s">
        <v>#N/A N/A</v>
        <stp/>
        <stp>BDH|6657861491631664153</stp>
        <tr r="D62" s="4"/>
      </tp>
      <tp t="s">
        <v>#N/A N/A</v>
        <stp/>
        <stp>BDH|7252043463684422234</stp>
        <tr r="R32" s="2"/>
      </tp>
      <tp t="s">
        <v>#N/A N/A</v>
        <stp/>
        <stp>BDH|4232631236870436610</stp>
        <tr r="I40" s="3"/>
      </tp>
      <tp t="s">
        <v>#N/A N/A</v>
        <stp/>
        <stp>BDH|2193021166025258654</stp>
        <tr r="K13" s="2"/>
      </tp>
      <tp t="s">
        <v>#N/A N/A</v>
        <stp/>
        <stp>BDH|6020819852055465954</stp>
        <tr r="M34" s="4"/>
      </tp>
      <tp t="s">
        <v>#N/A N/A</v>
        <stp/>
        <stp>BDH|2755418980568752135</stp>
        <tr r="I40" s="4"/>
      </tp>
      <tp t="s">
        <v>#N/A N/A</v>
        <stp/>
        <stp>BDH|3422220359947413490</stp>
        <tr r="Y9" s="3"/>
      </tp>
      <tp t="s">
        <v>#N/A N/A</v>
        <stp/>
        <stp>BDH|8993895615004728203</stp>
        <tr r="U36" s="2"/>
      </tp>
      <tp t="s">
        <v>#N/A N/A</v>
        <stp/>
        <stp>BDH|6174261199533989956</stp>
        <tr r="T74" s="3"/>
      </tp>
      <tp t="s">
        <v>#N/A N/A</v>
        <stp/>
        <stp>BDH|3071243462179788930</stp>
        <tr r="E25" s="2"/>
      </tp>
      <tp t="s">
        <v>#N/A N/A</v>
        <stp/>
        <stp>BDH|2454507958473833669</stp>
        <tr r="V90" s="3"/>
      </tp>
      <tp t="s">
        <v>#N/A N/A</v>
        <stp/>
        <stp>BDH|4352799732713225486</stp>
        <tr r="I53" s="3"/>
      </tp>
      <tp t="s">
        <v>#N/A N/A</v>
        <stp/>
        <stp>BDH|9743250624167776922</stp>
        <tr r="R25" s="4"/>
      </tp>
      <tp t="s">
        <v>#N/A N/A</v>
        <stp/>
        <stp>BDH|9863190985016535125</stp>
        <tr r="S40" s="4"/>
      </tp>
      <tp t="s">
        <v>#N/A N/A</v>
        <stp/>
        <stp>BDH|3437731465163159605</stp>
        <tr r="D14" s="3"/>
      </tp>
      <tp t="s">
        <v>#N/A N/A</v>
        <stp/>
        <stp>BDH|7910034618390140100</stp>
        <tr r="P58" s="3"/>
      </tp>
      <tp t="s">
        <v>#N/A N/A</v>
        <stp/>
        <stp>BDH|6265991583463824336</stp>
        <tr r="M22" s="3"/>
      </tp>
      <tp t="s">
        <v>#N/A N/A</v>
        <stp/>
        <stp>BDH|3672168363386150511</stp>
        <tr r="Q69" s="3"/>
      </tp>
      <tp t="s">
        <v>#N/A N/A</v>
        <stp/>
        <stp>BDH|7769232283502100859</stp>
        <tr r="C54" s="2"/>
      </tp>
      <tp t="s">
        <v>#N/A N/A</v>
        <stp/>
        <stp>BDH|1952293702622557648</stp>
        <tr r="N48" s="4"/>
      </tp>
      <tp t="s">
        <v>#N/A N/A</v>
        <stp/>
        <stp>BDH|3186605478005368097</stp>
        <tr r="Z66" s="3"/>
      </tp>
      <tp t="s">
        <v>#N/A N/A</v>
        <stp/>
        <stp>BDH|2914256700984712380</stp>
        <tr r="S35" s="4"/>
      </tp>
      <tp t="s">
        <v>#N/A N/A</v>
        <stp/>
        <stp>BDH|7526566830712147419</stp>
        <tr r="U89" s="3"/>
      </tp>
      <tp t="s">
        <v>#N/A N/A</v>
        <stp/>
        <stp>BDH|1487661290300295902</stp>
        <tr r="I64" s="4"/>
      </tp>
      <tp t="s">
        <v>#N/A N/A</v>
        <stp/>
        <stp>BDH|2331634000403677064</stp>
        <tr r="I49" s="2"/>
      </tp>
      <tp t="s">
        <v>#N/A N/A</v>
        <stp/>
        <stp>BDH|9506674352464590959</stp>
        <tr r="H49" s="2"/>
      </tp>
      <tp t="s">
        <v>#N/A N/A</v>
        <stp/>
        <stp>BDH|4008989017529868279</stp>
        <tr r="I28" s="4"/>
      </tp>
      <tp t="s">
        <v>#N/A N/A</v>
        <stp/>
        <stp>BDH|8364773196095559475</stp>
        <tr r="H34" s="3"/>
      </tp>
      <tp t="s">
        <v>#N/A N/A</v>
        <stp/>
        <stp>BDH|6037036435587146573</stp>
        <tr r="I11" s="4"/>
      </tp>
      <tp t="s">
        <v>#N/A N/A</v>
        <stp/>
        <stp>BDH|6546507011792033741</stp>
        <tr r="U60" s="4"/>
      </tp>
      <tp t="s">
        <v>#N/A N/A</v>
        <stp/>
        <stp>BDH|6797440496248719423</stp>
        <tr r="L49" s="4"/>
      </tp>
      <tp t="s">
        <v>#N/A N/A</v>
        <stp/>
        <stp>BDH|2785427891628605020</stp>
        <tr r="J82" s="3"/>
      </tp>
      <tp t="s">
        <v>#N/A N/A</v>
        <stp/>
        <stp>BDH|6861651032970694498</stp>
        <tr r="L27" s="3"/>
      </tp>
      <tp t="s">
        <v>#N/A N/A</v>
        <stp/>
        <stp>BDH|1000357932856244054</stp>
        <tr r="H26" s="3"/>
      </tp>
      <tp t="s">
        <v>#N/A N/A</v>
        <stp/>
        <stp>BDH|4602392531696611594</stp>
        <tr r="W45" s="2"/>
      </tp>
      <tp t="s">
        <v>#N/A N/A</v>
        <stp/>
        <stp>BDH|8348510855628542735</stp>
        <tr r="I32" s="2"/>
      </tp>
      <tp t="s">
        <v>#N/A N/A</v>
        <stp/>
        <stp>BDH|5670349224312562128</stp>
        <tr r="I57" s="2"/>
      </tp>
      <tp t="s">
        <v>#N/A N/A</v>
        <stp/>
        <stp>BDH|3320867875659373227</stp>
        <tr r="H61" s="2"/>
      </tp>
      <tp t="s">
        <v>#N/A N/A</v>
        <stp/>
        <stp>BDH|2711667414182676025</stp>
        <tr r="P32" s="4"/>
      </tp>
      <tp t="s">
        <v>#N/A N/A</v>
        <stp/>
        <stp>BDH|3683500004848360902</stp>
        <tr r="C64" s="3"/>
      </tp>
      <tp t="s">
        <v>#N/A N/A</v>
        <stp/>
        <stp>BDH|3641494907765075594</stp>
        <tr r="N21" s="3"/>
      </tp>
      <tp t="s">
        <v>#N/A N/A</v>
        <stp/>
        <stp>BDH|6489506723870767616</stp>
        <tr r="N25" s="4"/>
      </tp>
      <tp t="s">
        <v>#N/A N/A</v>
        <stp/>
        <stp>BDH|8968713757454631984</stp>
        <tr r="E8" s="3"/>
      </tp>
      <tp t="s">
        <v>#N/A N/A</v>
        <stp/>
        <stp>BDH|3133779660642112764</stp>
        <tr r="F15" s="2"/>
      </tp>
      <tp t="s">
        <v>#N/A N/A</v>
        <stp/>
        <stp>BDH|7431029150130335543</stp>
        <tr r="E66" s="2"/>
      </tp>
      <tp t="s">
        <v>#N/A N/A</v>
        <stp/>
        <stp>BDH|1435532624455574479</stp>
        <tr r="Z35" s="3"/>
      </tp>
      <tp t="s">
        <v>#N/A N/A</v>
        <stp/>
        <stp>BDH|1931967289736312149</stp>
        <tr r="T16" s="4"/>
      </tp>
      <tp t="s">
        <v>#N/A N/A</v>
        <stp/>
        <stp>BDH|4573394680838561082</stp>
        <tr r="F64" s="2"/>
      </tp>
      <tp t="s">
        <v>#N/A N/A</v>
        <stp/>
        <stp>BDH|6745270725643567267</stp>
        <tr r="Z61" s="3"/>
      </tp>
      <tp t="s">
        <v>#N/A N/A</v>
        <stp/>
        <stp>BDH|1364184478839635931</stp>
        <tr r="T36" s="2"/>
      </tp>
      <tp t="s">
        <v>#N/A N/A</v>
        <stp/>
        <stp>BDH|6761511230364128307</stp>
        <tr r="R31" s="2"/>
      </tp>
      <tp t="s">
        <v>#N/A N/A</v>
        <stp/>
        <stp>BDH|7697371851296387042</stp>
        <tr r="C13" s="4"/>
      </tp>
      <tp t="s">
        <v>#N/A N/A</v>
        <stp/>
        <stp>BDH|5787479157726907593</stp>
        <tr r="E53" s="3"/>
      </tp>
      <tp t="s">
        <v>#N/A N/A</v>
        <stp/>
        <stp>BDH|4523727870360147317</stp>
        <tr r="J70" s="3"/>
      </tp>
      <tp t="s">
        <v>#N/A N/A</v>
        <stp/>
        <stp>BDH|9655932220761115435</stp>
        <tr r="F8" s="2"/>
      </tp>
      <tp t="s">
        <v>#N/A N/A</v>
        <stp/>
        <stp>BDH|8773825656376003446</stp>
        <tr r="Y38" s="2"/>
      </tp>
      <tp t="s">
        <v>#N/A N/A</v>
        <stp/>
        <stp>BDH|5333338387339972099</stp>
        <tr r="V57" s="2"/>
      </tp>
      <tp t="s">
        <v>#N/A N/A</v>
        <stp/>
        <stp>BDH|3001530520930264369</stp>
        <tr r="V85" s="3"/>
      </tp>
      <tp t="s">
        <v>#N/A N/A</v>
        <stp/>
        <stp>BDH|6099975975039751626</stp>
        <tr r="T85" s="3"/>
      </tp>
      <tp t="s">
        <v>#N/A N/A</v>
        <stp/>
        <stp>BDH|2959554022685934734</stp>
        <tr r="R27" s="3"/>
      </tp>
      <tp t="s">
        <v>#N/A N/A</v>
        <stp/>
        <stp>BDH|4752218946816600325</stp>
        <tr r="W44" s="4"/>
      </tp>
      <tp t="s">
        <v>#N/A N/A</v>
        <stp/>
        <stp>BDH|1262439034962700363</stp>
        <tr r="L72" s="3"/>
      </tp>
      <tp t="s">
        <v>#N/A N/A</v>
        <stp/>
        <stp>BDH|4099341811359888895</stp>
        <tr r="Y25" s="2"/>
      </tp>
      <tp t="s">
        <v>#N/A N/A</v>
        <stp/>
        <stp>BDH|7662756363033699224</stp>
        <tr r="D26" s="2"/>
      </tp>
      <tp t="s">
        <v>#N/A N/A</v>
        <stp/>
        <stp>BDH|9319308282765477015</stp>
        <tr r="K44" s="4"/>
      </tp>
      <tp t="s">
        <v>#N/A N/A</v>
        <stp/>
        <stp>BDH|3182821487321377533</stp>
        <tr r="N10" s="4"/>
      </tp>
      <tp t="s">
        <v>#N/A N/A</v>
        <stp/>
        <stp>BDH|2886677422669193890</stp>
        <tr r="E82" s="3"/>
      </tp>
      <tp t="s">
        <v>#N/A N/A</v>
        <stp/>
        <stp>BDH|5825632119643207655</stp>
        <tr r="D35" s="4"/>
      </tp>
      <tp t="s">
        <v>#N/A N/A</v>
        <stp/>
        <stp>BDH|6062121906196673677</stp>
        <tr r="K21" s="2"/>
      </tp>
      <tp t="s">
        <v>#N/A N/A</v>
        <stp/>
        <stp>BDH|8331432875818418443</stp>
        <tr r="N31" s="3"/>
      </tp>
      <tp t="s">
        <v>#N/A N/A</v>
        <stp/>
        <stp>BDH|9111229640228672007</stp>
        <tr r="O53" s="3"/>
      </tp>
      <tp t="s">
        <v>#N/A N/A</v>
        <stp/>
        <stp>BDH|2998031934640965622</stp>
        <tr r="K54" s="4"/>
      </tp>
      <tp t="s">
        <v>#N/A N/A</v>
        <stp/>
        <stp>BDH|7879776136352591696</stp>
        <tr r="J60" s="3"/>
      </tp>
      <tp t="s">
        <v>#N/A N/A</v>
        <stp/>
        <stp>BDH|3680251286887386935</stp>
        <tr r="L40" s="4"/>
      </tp>
      <tp t="s">
        <v>#N/A N/A</v>
        <stp/>
        <stp>BDH|5534229446444333073</stp>
        <tr r="W91" s="3"/>
      </tp>
      <tp t="s">
        <v>#N/A N/A</v>
        <stp/>
        <stp>BDH|12533763470324978</stp>
        <tr r="S29" s="4"/>
      </tp>
      <tp t="s">
        <v>#N/A N/A</v>
        <stp/>
        <stp>BDH|9743949440831144580</stp>
        <tr r="T55" s="3"/>
      </tp>
      <tp t="s">
        <v>#N/A N/A</v>
        <stp/>
        <stp>BDH|1353067216740842014</stp>
        <tr r="G31" s="4"/>
      </tp>
      <tp t="s">
        <v>#N/A N/A</v>
        <stp/>
        <stp>BDH|4106482845834160079</stp>
        <tr r="G18" s="3"/>
      </tp>
      <tp t="s">
        <v>#N/A N/A</v>
        <stp/>
        <stp>BDH|5616577799479311017</stp>
        <tr r="P87" s="3"/>
      </tp>
      <tp t="s">
        <v>#N/A N/A</v>
        <stp/>
        <stp>BDH|5489408515112921227</stp>
        <tr r="J25" s="3"/>
      </tp>
      <tp t="s">
        <v>#N/A N/A</v>
        <stp/>
        <stp>BDH|3419861218548497248</stp>
        <tr r="R94" s="3"/>
      </tp>
      <tp t="s">
        <v>#N/A N/A</v>
        <stp/>
        <stp>BDH|7343807289275331234</stp>
        <tr r="J12" s="2"/>
      </tp>
      <tp t="s">
        <v>#N/A N/A</v>
        <stp/>
        <stp>BDH|4820728279867884313</stp>
        <tr r="E6" s="2"/>
      </tp>
      <tp t="s">
        <v>#N/A N/A</v>
        <stp/>
        <stp>BDH|2205267372244850349</stp>
        <tr r="E49" s="4"/>
      </tp>
      <tp t="s">
        <v>#N/A N/A</v>
        <stp/>
        <stp>BDH|5513248443694932716</stp>
        <tr r="S25" s="3"/>
      </tp>
      <tp t="s">
        <v>#N/A N/A</v>
        <stp/>
        <stp>BDH|3045009899539165322</stp>
        <tr r="U13" s="2"/>
      </tp>
      <tp t="s">
        <v>#N/A N/A</v>
        <stp/>
        <stp>BDH|4492000240159738989</stp>
        <tr r="N46" s="3"/>
      </tp>
      <tp t="s">
        <v>#N/A N/A</v>
        <stp/>
        <stp>BDH|2193819308328659254</stp>
        <tr r="D37" s="2"/>
      </tp>
      <tp t="s">
        <v>#N/A N/A</v>
        <stp/>
        <stp>BDH|7262079555267815539</stp>
        <tr r="X6" s="2"/>
      </tp>
      <tp t="s">
        <v>#N/A N/A</v>
        <stp/>
        <stp>BDH|5382446537454945627</stp>
        <tr r="R26" s="3"/>
      </tp>
      <tp t="s">
        <v>#N/A N/A</v>
        <stp/>
        <stp>BDH|1106776118501088651</stp>
        <tr r="S52" s="4"/>
      </tp>
      <tp t="s">
        <v>#N/A N/A</v>
        <stp/>
        <stp>BDH|9994857404639756840</stp>
        <tr r="L46" s="4"/>
      </tp>
      <tp t="s">
        <v>#N/A N/A</v>
        <stp/>
        <stp>BDH|2581051801985347799</stp>
        <tr r="O62" s="4"/>
      </tp>
      <tp t="s">
        <v>#N/A N/A</v>
        <stp/>
        <stp>BDH|6829312560256385517</stp>
        <tr r="N73" s="3"/>
      </tp>
      <tp t="s">
        <v>#N/A N/A</v>
        <stp/>
        <stp>BDH|5414627154891929703</stp>
        <tr r="K89" s="3"/>
      </tp>
      <tp t="s">
        <v>#N/A N/A</v>
        <stp/>
        <stp>BDH|8785013064066965803</stp>
        <tr r="C18" s="3"/>
      </tp>
      <tp t="s">
        <v>#N/A N/A</v>
        <stp/>
        <stp>BDH|4376540847710162595</stp>
        <tr r="I62" s="2"/>
      </tp>
      <tp t="s">
        <v>#N/A N/A</v>
        <stp/>
        <stp>BDH|6973117656485185779</stp>
        <tr r="O32" s="3"/>
      </tp>
      <tp t="s">
        <v>#N/A N/A</v>
        <stp/>
        <stp>BDH|5984116981528495457</stp>
        <tr r="Y42" s="2"/>
      </tp>
      <tp t="s">
        <v>#N/A N/A</v>
        <stp/>
        <stp>BDH|2622280402016551613</stp>
        <tr r="Q21" s="2"/>
      </tp>
      <tp t="s">
        <v>#N/A N/A</v>
        <stp/>
        <stp>BDH|4994932711678078431</stp>
        <tr r="R90" s="3"/>
      </tp>
      <tp t="s">
        <v>#N/A N/A</v>
        <stp/>
        <stp>BDH|2839606534240494704</stp>
        <tr r="R15" s="4"/>
      </tp>
      <tp t="s">
        <v>#N/A N/A</v>
        <stp/>
        <stp>BDH|8338204094931843277</stp>
        <tr r="D29" s="2"/>
      </tp>
      <tp t="s">
        <v>#N/A N/A</v>
        <stp/>
        <stp>BDH|8444983633455613705</stp>
        <tr r="N83" s="3"/>
      </tp>
      <tp t="s">
        <v>#N/A N/A</v>
        <stp/>
        <stp>BDH|9603801115123265381</stp>
        <tr r="L20" s="3"/>
      </tp>
      <tp t="s">
        <v>#N/A N/A</v>
        <stp/>
        <stp>BDH|3212295064207141075</stp>
        <tr r="O34" s="3"/>
      </tp>
      <tp t="s">
        <v>#N/A N/A</v>
        <stp/>
        <stp>BDH|8837845553734684103</stp>
        <tr r="X30" s="4"/>
      </tp>
      <tp t="s">
        <v>#N/A N/A</v>
        <stp/>
        <stp>BDH|6800758153677110365</stp>
        <tr r="O72" s="3"/>
      </tp>
      <tp t="s">
        <v>#N/A N/A</v>
        <stp/>
        <stp>BDH|5881386882776253896</stp>
        <tr r="L25" s="4"/>
      </tp>
      <tp t="s">
        <v>#N/A N/A</v>
        <stp/>
        <stp>BDH|6757835066778293093</stp>
        <tr r="R74" s="3"/>
      </tp>
      <tp t="s">
        <v>#N/A N/A</v>
        <stp/>
        <stp>BDH|1898113920086446441</stp>
        <tr r="M14" s="4"/>
      </tp>
      <tp t="s">
        <v>#N/A N/A</v>
        <stp/>
        <stp>BDH|7865349712221011472</stp>
        <tr r="C76" s="3"/>
      </tp>
      <tp t="s">
        <v>#N/A N/A</v>
        <stp/>
        <stp>BDH|3628596342156778442</stp>
        <tr r="T43" s="3"/>
      </tp>
      <tp t="s">
        <v>#N/A N/A</v>
        <stp/>
        <stp>BDH|9475945293070459997</stp>
        <tr r="M62" s="2"/>
      </tp>
      <tp t="s">
        <v>#N/A N/A</v>
        <stp/>
        <stp>BDH|7382315920800875640</stp>
        <tr r="U25" s="2"/>
      </tp>
      <tp t="s">
        <v>#N/A N/A</v>
        <stp/>
        <stp>BDH|2214787253030744004</stp>
        <tr r="U13" s="4"/>
      </tp>
      <tp t="s">
        <v>#N/A N/A</v>
        <stp/>
        <stp>BDH|2734119805337572486</stp>
        <tr r="E24" s="3"/>
      </tp>
      <tp t="s">
        <v>#N/A N/A</v>
        <stp/>
        <stp>BDH|4260956984824401190</stp>
        <tr r="R41" s="4"/>
      </tp>
      <tp t="s">
        <v>#N/A N/A</v>
        <stp/>
        <stp>BDH|1788303701444108695</stp>
        <tr r="W83" s="3"/>
      </tp>
      <tp t="s">
        <v>#N/A N/A</v>
        <stp/>
        <stp>BDH|6893559864367463238</stp>
        <tr r="Z21" s="3"/>
      </tp>
      <tp t="s">
        <v>#N/A N/A</v>
        <stp/>
        <stp>BDH|9698546334788049783</stp>
        <tr r="M16" s="3"/>
      </tp>
      <tp t="s">
        <v>#N/A N/A</v>
        <stp/>
        <stp>BDH|8827194382481593098</stp>
        <tr r="S35" s="3"/>
      </tp>
      <tp t="s">
        <v>#N/A N/A</v>
        <stp/>
        <stp>BDH|3798510978529695877</stp>
        <tr r="X43" s="2"/>
      </tp>
      <tp t="s">
        <v>#N/A N/A</v>
        <stp/>
        <stp>BDH|1470831494228828844</stp>
        <tr r="C58" s="3"/>
      </tp>
      <tp t="s">
        <v>#N/A N/A</v>
        <stp/>
        <stp>BDH|2808384513761558193</stp>
        <tr r="G61" s="3"/>
      </tp>
      <tp t="s">
        <v>#N/A N/A</v>
        <stp/>
        <stp>BDH|8901646064141632900</stp>
        <tr r="C45" s="2"/>
      </tp>
      <tp t="s">
        <v>#N/A N/A</v>
        <stp/>
        <stp>BDH|3860671951171577145</stp>
        <tr r="X50" s="2"/>
      </tp>
      <tp t="s">
        <v>#N/A N/A</v>
        <stp/>
        <stp>BDH|3289998215028722366</stp>
        <tr r="K58" s="4"/>
      </tp>
      <tp t="s">
        <v>#N/A N/A</v>
        <stp/>
        <stp>BDH|9088633390233894547</stp>
        <tr r="J24" s="3"/>
      </tp>
      <tp t="s">
        <v>#N/A N/A</v>
        <stp/>
        <stp>BDH|9403275787123915023</stp>
        <tr r="G58" s="3"/>
      </tp>
      <tp t="s">
        <v>#N/A N/A</v>
        <stp/>
        <stp>BDH|1198609141934945764</stp>
        <tr r="O52" s="3"/>
      </tp>
      <tp t="s">
        <v>#N/A N/A</v>
        <stp/>
        <stp>BDH|9461805927193903058</stp>
        <tr r="E35" s="3"/>
      </tp>
      <tp t="s">
        <v>#N/A N/A</v>
        <stp/>
        <stp>BDH|2366517473225984548</stp>
        <tr r="Y30" s="3"/>
      </tp>
      <tp t="s">
        <v>#N/A N/A</v>
        <stp/>
        <stp>BDH|9001301490266959554</stp>
        <tr r="I90" s="3"/>
      </tp>
      <tp t="s">
        <v>#N/A N/A</v>
        <stp/>
        <stp>BDH|9961647266390721905</stp>
        <tr r="E62" s="2"/>
      </tp>
      <tp t="s">
        <v>#N/A N/A</v>
        <stp/>
        <stp>BDH|6820719711409055943</stp>
        <tr r="O8" s="3"/>
      </tp>
      <tp t="s">
        <v>#N/A N/A</v>
        <stp/>
        <stp>BDH|6027270008860239414</stp>
        <tr r="L45" s="3"/>
      </tp>
      <tp t="s">
        <v>#N/A N/A</v>
        <stp/>
        <stp>BDH|6539509033126275680</stp>
        <tr r="T65" s="4"/>
      </tp>
      <tp t="s">
        <v>#N/A N/A</v>
        <stp/>
        <stp>BDH|4513726823587148687</stp>
        <tr r="M10" s="3"/>
      </tp>
      <tp t="s">
        <v>#N/A N/A</v>
        <stp/>
        <stp>BDH|5803456102316625744</stp>
        <tr r="Q47" s="3"/>
      </tp>
      <tp t="s">
        <v>#N/A N/A</v>
        <stp/>
        <stp>BDH|3632658345931912020</stp>
        <tr r="M54" s="3"/>
      </tp>
      <tp t="s">
        <v>#N/A N/A</v>
        <stp/>
        <stp>BDH|4056888796347754249</stp>
        <tr r="W31" s="3"/>
      </tp>
      <tp t="s">
        <v>#N/A N/A</v>
        <stp/>
        <stp>BDH|1470072774423327594</stp>
        <tr r="W65" s="2"/>
      </tp>
      <tp t="s">
        <v>#N/A N/A</v>
        <stp/>
        <stp>BDH|1824658326007754219</stp>
        <tr r="Q71" s="3"/>
      </tp>
      <tp t="s">
        <v>#N/A N/A</v>
        <stp/>
        <stp>BDH|4545429348036352210</stp>
        <tr r="U26" s="3"/>
      </tp>
      <tp t="s">
        <v>#N/A N/A</v>
        <stp/>
        <stp>BDH|7254796337675998684</stp>
        <tr r="J56" s="2"/>
      </tp>
      <tp t="s">
        <v>#N/A N/A</v>
        <stp/>
        <stp>BDH|5384690316387108506</stp>
        <tr r="Q21" s="3"/>
      </tp>
      <tp t="s">
        <v>#N/A N/A</v>
        <stp/>
        <stp>BDH|9938933753601793432</stp>
        <tr r="C35" s="4"/>
      </tp>
      <tp t="s">
        <v>#N/A N/A</v>
        <stp/>
        <stp>BDH|8508229017572960947</stp>
        <tr r="P21" s="4"/>
      </tp>
      <tp t="s">
        <v>#N/A N/A</v>
        <stp/>
        <stp>BDH|8966617592562101597</stp>
        <tr r="I63" s="3"/>
      </tp>
      <tp t="s">
        <v>#N/A N/A</v>
        <stp/>
        <stp>BDH|1526346678954398186</stp>
        <tr r="C34" s="2"/>
      </tp>
      <tp t="s">
        <v>#N/A N/A</v>
        <stp/>
        <stp>BDH|9318227492377202537</stp>
        <tr r="G32" s="2"/>
      </tp>
      <tp t="s">
        <v>#N/A N/A</v>
        <stp/>
        <stp>BDH|3724403036440142424</stp>
        <tr r="F74" s="3"/>
      </tp>
      <tp t="s">
        <v>#N/A N/A</v>
        <stp/>
        <stp>BDH|2676385048023027646</stp>
        <tr r="L69" s="2"/>
      </tp>
      <tp t="s">
        <v>#N/A N/A</v>
        <stp/>
        <stp>BDH|5467034273102716014</stp>
        <tr r="D19" s="3"/>
      </tp>
      <tp t="s">
        <v>#N/A N/A</v>
        <stp/>
        <stp>BDH|6489724648071424486</stp>
        <tr r="O45" s="2"/>
      </tp>
      <tp t="s">
        <v>#N/A N/A</v>
        <stp/>
        <stp>BDH|6654112507524345318</stp>
        <tr r="K43" s="3"/>
      </tp>
      <tp t="s">
        <v>#N/A N/A</v>
        <stp/>
        <stp>BDH|6626100803157730011</stp>
        <tr r="H28" s="4"/>
      </tp>
      <tp t="s">
        <v>#N/A N/A</v>
        <stp/>
        <stp>BDH|1908076458794624030</stp>
        <tr r="Q27" s="4"/>
      </tp>
      <tp t="s">
        <v>#N/A N/A</v>
        <stp/>
        <stp>BDH|2998933706909886279</stp>
        <tr r="Y17" s="4"/>
      </tp>
      <tp t="s">
        <v>#N/A N/A</v>
        <stp/>
        <stp>BDH|5513146804206370250</stp>
        <tr r="N66" s="2"/>
      </tp>
      <tp t="s">
        <v>#N/A N/A</v>
        <stp/>
        <stp>BDH|1067200242233647475</stp>
        <tr r="J45" s="4"/>
      </tp>
      <tp t="s">
        <v>#N/A N/A</v>
        <stp/>
        <stp>BDH|1414567211665862082</stp>
        <tr r="M31" s="2"/>
      </tp>
      <tp t="s">
        <v>#N/A N/A</v>
        <stp/>
        <stp>BDH|1353425965675770605</stp>
        <tr r="O37" s="4"/>
      </tp>
      <tp t="s">
        <v>#N/A N/A</v>
        <stp/>
        <stp>BDH|5412146737526005144</stp>
        <tr r="R38" s="3"/>
      </tp>
      <tp t="s">
        <v>#N/A N/A</v>
        <stp/>
        <stp>BDH|2296305585210237964</stp>
        <tr r="S71" s="2"/>
      </tp>
      <tp t="s">
        <v>#N/A N/A</v>
        <stp/>
        <stp>BDH|1085968784987700762</stp>
        <tr r="I69" s="3"/>
      </tp>
      <tp t="s">
        <v>#N/A N/A</v>
        <stp/>
        <stp>BDH|8707687453209785287</stp>
        <tr r="L29" s="2"/>
      </tp>
      <tp t="s">
        <v>#N/A N/A</v>
        <stp/>
        <stp>BDH|2374930511838144237</stp>
        <tr r="E39" s="3"/>
      </tp>
      <tp t="s">
        <v>#N/A N/A</v>
        <stp/>
        <stp>BDH|6963329180215174895</stp>
        <tr r="S38" s="3"/>
      </tp>
      <tp t="s">
        <v>#N/A N/A</v>
        <stp/>
        <stp>BDH|4815744933504875449</stp>
        <tr r="L40" s="3"/>
      </tp>
      <tp t="s">
        <v>#N/A N/A</v>
        <stp/>
        <stp>BDH|5087645523944161562</stp>
        <tr r="H73" s="3"/>
      </tp>
      <tp t="s">
        <v>#N/A N/A</v>
        <stp/>
        <stp>BDH|1528647063814768559</stp>
        <tr r="H64" s="2"/>
      </tp>
      <tp t="s">
        <v>#N/A N/A</v>
        <stp/>
        <stp>BDH|4933281743337100534</stp>
        <tr r="D61" s="3"/>
      </tp>
      <tp t="s">
        <v>#N/A N/A</v>
        <stp/>
        <stp>BDH|9123617073118747044</stp>
        <tr r="Z54" s="3"/>
      </tp>
      <tp t="s">
        <v>#N/A N/A</v>
        <stp/>
        <stp>BDH|5380470161884038357</stp>
        <tr r="D8" s="2"/>
      </tp>
      <tp t="s">
        <v>#N/A N/A</v>
        <stp/>
        <stp>BDH|2244174442343703404</stp>
        <tr r="Z24" s="2"/>
      </tp>
      <tp t="s">
        <v>#N/A N/A</v>
        <stp/>
        <stp>BDH|6873658343135813169</stp>
        <tr r="D57" s="2"/>
      </tp>
      <tp t="s">
        <v>#N/A N/A</v>
        <stp/>
        <stp>BDH|8187767405649246604</stp>
        <tr r="W12" s="2"/>
      </tp>
      <tp t="s">
        <v>#N/A N/A</v>
        <stp/>
        <stp>BDH|5344003482315787866</stp>
        <tr r="V89" s="3"/>
      </tp>
      <tp t="s">
        <v>#N/A N/A</v>
        <stp/>
        <stp>BDH|3841999817953661808</stp>
        <tr r="L21" s="3"/>
      </tp>
      <tp t="s">
        <v>#N/A N/A</v>
        <stp/>
        <stp>BDH|5422590945737147381</stp>
        <tr r="E18" s="4"/>
      </tp>
      <tp t="s">
        <v>#N/A N/A</v>
        <stp/>
        <stp>BDH|5028782230407892618</stp>
        <tr r="O60" s="4"/>
      </tp>
      <tp t="s">
        <v>#N/A N/A</v>
        <stp/>
        <stp>BDH|8917610879619292029</stp>
        <tr r="Y84" s="3"/>
      </tp>
      <tp t="s">
        <v>#N/A N/A</v>
        <stp/>
        <stp>BDH|2794098265217843321</stp>
        <tr r="S30" s="2"/>
      </tp>
      <tp t="s">
        <v>#N/A N/A</v>
        <stp/>
        <stp>BDH|1646533444743173311</stp>
        <tr r="S14" s="2"/>
      </tp>
      <tp t="s">
        <v>#N/A N/A</v>
        <stp/>
        <stp>BDH|1237743219611699685</stp>
        <tr r="R63" s="3"/>
      </tp>
      <tp t="s">
        <v>#N/A N/A</v>
        <stp/>
        <stp>BDH|9258189363529909714</stp>
        <tr r="H8" s="3"/>
      </tp>
      <tp t="s">
        <v>#N/A N/A</v>
        <stp/>
        <stp>BDH|3645272903551076039</stp>
        <tr r="G44" s="3"/>
      </tp>
      <tp t="s">
        <v>#N/A N/A</v>
        <stp/>
        <stp>BDH|1687184478247379045</stp>
        <tr r="X20" s="3"/>
      </tp>
      <tp t="s">
        <v>#N/A N/A</v>
        <stp/>
        <stp>BDH|6617011175973101226</stp>
        <tr r="X65" s="4"/>
      </tp>
      <tp t="s">
        <v>#N/A N/A</v>
        <stp/>
        <stp>BDH|8014064881985143508</stp>
        <tr r="R10" s="4"/>
      </tp>
      <tp t="s">
        <v>#N/A N/A</v>
        <stp/>
        <stp>BDH|5787664387068998395</stp>
        <tr r="D8" s="3"/>
      </tp>
      <tp t="s">
        <v>#N/A N/A</v>
        <stp/>
        <stp>BDH|4563553161756163167</stp>
        <tr r="R28" s="3"/>
      </tp>
      <tp t="s">
        <v>#N/A N/A</v>
        <stp/>
        <stp>BDH|2443307963054398328</stp>
        <tr r="I43" s="2"/>
      </tp>
      <tp t="s">
        <v>#N/A N/A</v>
        <stp/>
        <stp>BDH|6650347063055442634</stp>
        <tr r="C33" s="3"/>
      </tp>
      <tp t="s">
        <v>#N/A N/A</v>
        <stp/>
        <stp>BDH|9320365453166251924</stp>
        <tr r="U82" s="3"/>
      </tp>
      <tp t="s">
        <v>#N/A N/A</v>
        <stp/>
        <stp>BDH|3040375117660512130</stp>
        <tr r="P26" s="4"/>
      </tp>
      <tp t="s">
        <v>#N/A N/A</v>
        <stp/>
        <stp>BDH|5486606742985625263</stp>
        <tr r="T76" s="3"/>
      </tp>
      <tp t="s">
        <v>#N/A N/A</v>
        <stp/>
        <stp>BDH|3595065125408643966</stp>
        <tr r="J15" s="3"/>
      </tp>
      <tp t="s">
        <v>#N/A N/A</v>
        <stp/>
        <stp>BDH|6771458582622658800</stp>
        <tr r="E18" s="2"/>
      </tp>
      <tp t="s">
        <v>#N/A N/A</v>
        <stp/>
        <stp>BDH|1217959494298275971</stp>
        <tr r="G8" s="4"/>
      </tp>
      <tp t="s">
        <v>#N/A N/A</v>
        <stp/>
        <stp>BDH|8116500451500594832</stp>
        <tr r="K66" s="2"/>
      </tp>
      <tp t="s">
        <v>#N/A N/A</v>
        <stp/>
        <stp>BDH|7632394295545884844</stp>
        <tr r="G13" s="2"/>
      </tp>
      <tp t="s">
        <v>#N/A N/A</v>
        <stp/>
        <stp>BDH|1247824283111685028</stp>
        <tr r="V52" s="2"/>
      </tp>
      <tp t="s">
        <v>#N/A N/A</v>
        <stp/>
        <stp>BDH|6976184221711576423</stp>
        <tr r="S40" s="2"/>
      </tp>
      <tp t="s">
        <v>#N/A N/A</v>
        <stp/>
        <stp>BDH|6901594677220029404</stp>
        <tr r="R70" s="3"/>
      </tp>
      <tp t="s">
        <v>#N/A N/A</v>
        <stp/>
        <stp>BDH|9470946854327403270</stp>
        <tr r="Q32" s="2"/>
      </tp>
      <tp t="s">
        <v>#N/A N/A</v>
        <stp/>
        <stp>BDH|9552447717478129406</stp>
        <tr r="S36" s="4"/>
      </tp>
      <tp t="s">
        <v>#N/A N/A</v>
        <stp/>
        <stp>BDH|6673437861573230711</stp>
        <tr r="E9" s="2"/>
      </tp>
      <tp t="s">
        <v>#N/A N/A</v>
        <stp/>
        <stp>BDH|1340901880278787838</stp>
        <tr r="I37" s="2"/>
      </tp>
      <tp t="s">
        <v>#N/A N/A</v>
        <stp/>
        <stp>BDH|1121112365285049320</stp>
        <tr r="G28" s="3"/>
      </tp>
      <tp t="s">
        <v>#N/A N/A</v>
        <stp/>
        <stp>BDH|5203543722993420170</stp>
        <tr r="F75" s="3"/>
      </tp>
      <tp t="s">
        <v>#N/A N/A</v>
        <stp/>
        <stp>BDH|2261016130800158150</stp>
        <tr r="J40" s="4"/>
      </tp>
      <tp t="s">
        <v>#N/A N/A</v>
        <stp/>
        <stp>BDH|3498653156892388236</stp>
        <tr r="I64" s="2"/>
      </tp>
      <tp t="s">
        <v>#N/A N/A</v>
        <stp/>
        <stp>BDH|4785322422182111716</stp>
        <tr r="J44" s="4"/>
      </tp>
      <tp t="s">
        <v>#N/A N/A</v>
        <stp/>
        <stp>BDH|2073190276780350485</stp>
        <tr r="S32" s="2"/>
      </tp>
      <tp t="s">
        <v>#N/A N/A</v>
        <stp/>
        <stp>BDH|2501763274705676756</stp>
        <tr r="T28" s="3"/>
      </tp>
      <tp t="s">
        <v>#N/A N/A</v>
        <stp/>
        <stp>BDH|9953406601579525490</stp>
        <tr r="Q28" s="2"/>
      </tp>
      <tp t="s">
        <v>#N/A N/A</v>
        <stp/>
        <stp>BDH|2337620030203650432</stp>
        <tr r="P54" s="2"/>
      </tp>
      <tp t="s">
        <v>#N/A N/A</v>
        <stp/>
        <stp>BDH|3876951855148988759</stp>
        <tr r="I51" s="3"/>
      </tp>
      <tp t="s">
        <v>#N/A N/A</v>
        <stp/>
        <stp>BDH|7252355416811139442</stp>
        <tr r="T8" s="2"/>
      </tp>
      <tp t="s">
        <v>#N/A N/A</v>
        <stp/>
        <stp>BDH|6900268625344669287</stp>
        <tr r="M28" s="2"/>
      </tp>
      <tp t="s">
        <v>#N/A N/A</v>
        <stp/>
        <stp>BDH|5936345744942820051</stp>
        <tr r="H17" s="3"/>
      </tp>
      <tp t="s">
        <v>#N/A N/A</v>
        <stp/>
        <stp>BDH|4674917982437988283</stp>
        <tr r="N8" s="2"/>
      </tp>
      <tp t="s">
        <v>#N/A N/A</v>
        <stp/>
        <stp>BDH|5759688144905824278</stp>
        <tr r="W25" s="2"/>
      </tp>
      <tp t="s">
        <v>#N/A N/A</v>
        <stp/>
        <stp>BDH|2280382749180308558</stp>
        <tr r="D49" s="2"/>
      </tp>
      <tp t="s">
        <v>#N/A N/A</v>
        <stp/>
        <stp>BDH|3188818543496597938</stp>
        <tr r="D70" s="3"/>
      </tp>
      <tp t="s">
        <v>#N/A N/A</v>
        <stp/>
        <stp>BDH|7771317371804249709</stp>
        <tr r="Q88" s="3"/>
      </tp>
      <tp t="s">
        <v>#N/A N/A</v>
        <stp/>
        <stp>BDH|1293717836693497645</stp>
        <tr r="Y22" s="2"/>
      </tp>
      <tp t="s">
        <v>#N/A N/A</v>
        <stp/>
        <stp>BDH|5636152450727045666</stp>
        <tr r="Q8" s="3"/>
      </tp>
      <tp t="s">
        <v>#N/A N/A</v>
        <stp/>
        <stp>BDH|9920340440606904810</stp>
        <tr r="N32" s="3"/>
      </tp>
      <tp t="s">
        <v>#N/A N/A</v>
        <stp/>
        <stp>BDH|3115615177182657046</stp>
        <tr r="C30" s="4"/>
      </tp>
      <tp t="s">
        <v>#N/A N/A</v>
        <stp/>
        <stp>BDH|9181058498295092592</stp>
        <tr r="W62" s="3"/>
      </tp>
      <tp t="s">
        <v>#N/A N/A</v>
        <stp/>
        <stp>BDH|7092402603976387552</stp>
        <tr r="Y63" s="3"/>
      </tp>
      <tp t="s">
        <v>#N/A N/A</v>
        <stp/>
        <stp>BDH|9843949918358915987</stp>
        <tr r="Y66" s="3"/>
      </tp>
      <tp t="s">
        <v>#N/A N/A</v>
        <stp/>
        <stp>BDH|6339465146214480227</stp>
        <tr r="P18" s="2"/>
      </tp>
      <tp t="s">
        <v>#N/A N/A</v>
        <stp/>
        <stp>BDH|3129410532951610516</stp>
        <tr r="J19" s="3"/>
      </tp>
      <tp t="s">
        <v>#N/A N/A</v>
        <stp/>
        <stp>BDH|4105785805371119288</stp>
        <tr r="M11" s="4"/>
      </tp>
      <tp t="s">
        <v>#N/A N/A</v>
        <stp/>
        <stp>BDH|3020340420930929286</stp>
        <tr r="P45" s="3"/>
      </tp>
      <tp t="s">
        <v>#N/A N/A</v>
        <stp/>
        <stp>BDH|1679216820907125634</stp>
        <tr r="C28" s="3"/>
      </tp>
      <tp t="s">
        <v>#N/A N/A</v>
        <stp/>
        <stp>BDH|47648552636510842</stp>
        <tr r="M7" s="2"/>
      </tp>
      <tp t="s">
        <v>#N/A N/A</v>
        <stp/>
        <stp>BDH|1300751163585808477</stp>
        <tr r="M37" s="4"/>
      </tp>
      <tp t="s">
        <v>#N/A N/A</v>
        <stp/>
        <stp>BDH|2997562204231690772</stp>
        <tr r="H55" s="3"/>
      </tp>
      <tp t="s">
        <v>#N/A N/A</v>
        <stp/>
        <stp>BDH|4771713416423904035</stp>
        <tr r="V43" s="4"/>
      </tp>
      <tp t="s">
        <v>#N/A N/A</v>
        <stp/>
        <stp>BDH|3188158184249200286</stp>
        <tr r="W57" s="3"/>
      </tp>
      <tp t="s">
        <v>#N/A N/A</v>
        <stp/>
        <stp>BDH|7621752781538865104</stp>
        <tr r="X64" s="4"/>
      </tp>
      <tp t="s">
        <v>#N/A N/A</v>
        <stp/>
        <stp>BDH|6826126319081803613</stp>
        <tr r="X48" s="3"/>
      </tp>
      <tp t="s">
        <v>#N/A N/A</v>
        <stp/>
        <stp>BDH|7549886551892381954</stp>
        <tr r="V20" s="2"/>
      </tp>
      <tp t="s">
        <v>#N/A N/A</v>
        <stp/>
        <stp>BDH|2871347633486754529</stp>
        <tr r="P89" s="3"/>
      </tp>
      <tp t="s">
        <v>#N/A N/A</v>
        <stp/>
        <stp>BDH|1183530050122129290</stp>
        <tr r="T48" s="4"/>
      </tp>
      <tp t="s">
        <v>#N/A N/A</v>
        <stp/>
        <stp>BDH|6949148365928218815</stp>
        <tr r="R41" s="2"/>
      </tp>
      <tp t="s">
        <v>#N/A N/A</v>
        <stp/>
        <stp>BDH|1454249479113664649</stp>
        <tr r="M22" s="4"/>
      </tp>
      <tp t="s">
        <v>#N/A N/A</v>
        <stp/>
        <stp>BDH|4682400940840952540</stp>
        <tr r="V67" s="3"/>
      </tp>
      <tp t="s">
        <v>#N/A N/A</v>
        <stp/>
        <stp>BDH|3741598873588158879</stp>
        <tr r="Z34" s="3"/>
      </tp>
      <tp t="s">
        <v>#N/A N/A</v>
        <stp/>
        <stp>BDH|7790329044419255888</stp>
        <tr r="I8" s="4"/>
      </tp>
      <tp t="s">
        <v>#N/A N/A</v>
        <stp/>
        <stp>BDH|3316206009074488456</stp>
        <tr r="I63" s="4"/>
      </tp>
      <tp t="s">
        <v>#N/A N/A</v>
        <stp/>
        <stp>BDH|2830791365097796581</stp>
        <tr r="S16" s="2"/>
      </tp>
      <tp t="s">
        <v>#N/A N/A</v>
        <stp/>
        <stp>BDH|4336470571420994673</stp>
        <tr r="O13" s="3"/>
      </tp>
      <tp t="s">
        <v>#N/A N/A</v>
        <stp/>
        <stp>BDH|2881018595879358342</stp>
        <tr r="I49" s="4"/>
      </tp>
      <tp t="s">
        <v>#N/A N/A</v>
        <stp/>
        <stp>BDH|6318931202769989701</stp>
        <tr r="L16" s="4"/>
      </tp>
      <tp t="s">
        <v>#N/A N/A</v>
        <stp/>
        <stp>BDH|2684190377945380038</stp>
        <tr r="W50" s="2"/>
      </tp>
      <tp t="s">
        <v>#N/A N/A</v>
        <stp/>
        <stp>BDH|1600990792583714325</stp>
        <tr r="M18" s="2"/>
      </tp>
      <tp t="s">
        <v>#N/A N/A</v>
        <stp/>
        <stp>BDH|1396382468816862335</stp>
        <tr r="C50" s="2"/>
      </tp>
      <tp t="s">
        <v>#N/A N/A</v>
        <stp/>
        <stp>BDH|7588727962375907249</stp>
        <tr r="P26" s="2"/>
      </tp>
      <tp t="s">
        <v>#N/A N/A</v>
        <stp/>
        <stp>BDH|5115695014134129753</stp>
        <tr r="N10" s="3"/>
      </tp>
      <tp t="s">
        <v>#N/A N/A</v>
        <stp/>
        <stp>BDH|8784573058771842882</stp>
        <tr r="Y42" s="3"/>
      </tp>
      <tp t="s">
        <v>#N/A N/A</v>
        <stp/>
        <stp>BDH|3412470636523595683</stp>
        <tr r="G35" s="2"/>
        <tr r="G47" s="2"/>
      </tp>
      <tp t="s">
        <v>#N/A N/A</v>
        <stp/>
        <stp>BDH|2255487948094364785</stp>
        <tr r="F71" s="2"/>
      </tp>
      <tp t="s">
        <v>#N/A N/A</v>
        <stp/>
        <stp>BDH|5858026137571257663</stp>
        <tr r="G17" s="2"/>
      </tp>
      <tp t="s">
        <v>#N/A N/A</v>
        <stp/>
        <stp>BDH|4790909551969782082</stp>
        <tr r="N26" s="4"/>
      </tp>
      <tp t="s">
        <v>#N/A N/A</v>
        <stp/>
        <stp>BDH|1277021909967855788</stp>
        <tr r="R7" s="3"/>
      </tp>
      <tp t="s">
        <v>#N/A N/A</v>
        <stp/>
        <stp>BDH|1983105313235334509</stp>
        <tr r="O50" s="3"/>
      </tp>
      <tp t="s">
        <v>#N/A N/A</v>
        <stp/>
        <stp>BDH|7523484311574237775</stp>
        <tr r="T10" s="2"/>
      </tp>
      <tp t="s">
        <v>#N/A N/A</v>
        <stp/>
        <stp>BDH|8286924864804888258</stp>
        <tr r="F41" s="3"/>
      </tp>
      <tp t="s">
        <v>#N/A N/A</v>
        <stp/>
        <stp>BDH|1153682734700763532</stp>
        <tr r="R16" s="3"/>
      </tp>
      <tp t="s">
        <v>#N/A N/A</v>
        <stp/>
        <stp>BDH|2142683151669778961</stp>
        <tr r="T12" s="4"/>
      </tp>
      <tp t="s">
        <v>#N/A N/A</v>
        <stp/>
        <stp>BDH|6740294631023324554</stp>
        <tr r="C48" s="3"/>
      </tp>
      <tp t="s">
        <v>#N/A N/A</v>
        <stp/>
        <stp>BDH|2218305671987861022</stp>
        <tr r="V32" s="2"/>
      </tp>
      <tp t="s">
        <v>#N/A N/A</v>
        <stp/>
        <stp>BDH|8854207465309393470</stp>
        <tr r="Z62" s="3"/>
      </tp>
      <tp t="s">
        <v>#N/A N/A</v>
        <stp/>
        <stp>BDH|2409482885946564950</stp>
        <tr r="D6" s="2"/>
      </tp>
      <tp t="s">
        <v>#N/A N/A</v>
        <stp/>
        <stp>BDH|5139285623907693359</stp>
        <tr r="J40" s="3"/>
      </tp>
      <tp t="s">
        <v>#N/A N/A</v>
        <stp/>
        <stp>BDH|1493795753744577622</stp>
        <tr r="P66" s="4"/>
      </tp>
      <tp t="s">
        <v>#N/A N/A</v>
        <stp/>
        <stp>BDH|1081391836371690171</stp>
        <tr r="U7" s="2"/>
      </tp>
      <tp t="s">
        <v>#N/A N/A</v>
        <stp/>
        <stp>BDH|9708320965315859862</stp>
        <tr r="I65" s="2"/>
      </tp>
      <tp t="s">
        <v>#N/A N/A</v>
        <stp/>
        <stp>BDH|8936072703470142928</stp>
        <tr r="K21" s="4"/>
      </tp>
      <tp t="s">
        <v>#N/A N/A</v>
        <stp/>
        <stp>BDH|2438691597188737438</stp>
        <tr r="E12" s="4"/>
      </tp>
      <tp t="s">
        <v>#N/A N/A</v>
        <stp/>
        <stp>BDH|9276173014841731987</stp>
        <tr r="N70" s="2"/>
      </tp>
      <tp t="s">
        <v>#N/A N/A</v>
        <stp/>
        <stp>BDH|7842830360010575808</stp>
        <tr r="S71" s="3"/>
      </tp>
      <tp t="s">
        <v>#N/A N/A</v>
        <stp/>
        <stp>BDH|7402039508083355527</stp>
        <tr r="T34" s="4"/>
      </tp>
      <tp t="s">
        <v>#N/A N/A</v>
        <stp/>
        <stp>BDH|8408843113711576189</stp>
        <tr r="T70" s="3"/>
      </tp>
      <tp t="s">
        <v>#N/A N/A</v>
        <stp/>
        <stp>BDH|5875572494268535008</stp>
        <tr r="I42" s="4"/>
      </tp>
      <tp t="s">
        <v>#N/A N/A</v>
        <stp/>
        <stp>BDH|1501518797628466496</stp>
        <tr r="Z72" s="2"/>
      </tp>
      <tp t="s">
        <v>#N/A N/A</v>
        <stp/>
        <stp>BDH|3981630107312196633</stp>
        <tr r="O15" s="3"/>
      </tp>
      <tp t="s">
        <v>#N/A N/A</v>
        <stp/>
        <stp>BDH|2321482744760933397</stp>
        <tr r="T31" s="2"/>
      </tp>
      <tp t="s">
        <v>#N/A N/A</v>
        <stp/>
        <stp>BDH|5162135129120556712</stp>
        <tr r="Y53" s="3"/>
      </tp>
      <tp t="s">
        <v>#N/A N/A</v>
        <stp/>
        <stp>BDH|1725483309731891519</stp>
        <tr r="S29" s="2"/>
      </tp>
      <tp t="s">
        <v>#N/A N/A</v>
        <stp/>
        <stp>BDH|5225509820694870753</stp>
        <tr r="F33" s="3"/>
      </tp>
      <tp t="s">
        <v>#N/A N/A</v>
        <stp/>
        <stp>BDH|5614106660151864218</stp>
        <tr r="E15" s="2"/>
      </tp>
      <tp t="s">
        <v>#N/A N/A</v>
        <stp/>
        <stp>BDH|7943075658120139389</stp>
        <tr r="G55" s="3"/>
      </tp>
      <tp t="s">
        <v>#N/A N/A</v>
        <stp/>
        <stp>BDH|1288030606612850201</stp>
        <tr r="Z82" s="3"/>
      </tp>
      <tp t="s">
        <v>#N/A N/A</v>
        <stp/>
        <stp>BDH|7950433857974298308</stp>
        <tr r="N56" s="3"/>
      </tp>
      <tp t="s">
        <v>#N/A N/A</v>
        <stp/>
        <stp>BDH|3731679561240708296</stp>
        <tr r="U67" s="3"/>
      </tp>
      <tp t="s">
        <v>#N/A N/A</v>
        <stp/>
        <stp>BDH|8978173484087249742</stp>
        <tr r="M42" s="3"/>
      </tp>
      <tp t="s">
        <v>#N/A N/A</v>
        <stp/>
        <stp>BDH|6426095745453756033</stp>
        <tr r="H94" s="3"/>
      </tp>
      <tp t="s">
        <v>#N/A N/A</v>
        <stp/>
        <stp>BDH|4369876108685898888</stp>
        <tr r="O18" s="3"/>
      </tp>
      <tp t="s">
        <v>#N/A N/A</v>
        <stp/>
        <stp>BDH|1248946683653942207</stp>
        <tr r="H14" s="2"/>
      </tp>
      <tp t="s">
        <v>#N/A N/A</v>
        <stp/>
        <stp>BDH|9095914378073005557</stp>
        <tr r="M9" s="3"/>
      </tp>
      <tp t="s">
        <v>#N/A N/A</v>
        <stp/>
        <stp>BDH|4956405911175020549</stp>
        <tr r="Z12" s="2"/>
      </tp>
      <tp t="s">
        <v>#N/A N/A</v>
        <stp/>
        <stp>BDH|5125118745101009096</stp>
        <tr r="L24" s="2"/>
      </tp>
      <tp t="s">
        <v>#N/A N/A</v>
        <stp/>
        <stp>BDH|5538634358202726559</stp>
        <tr r="P94" s="3"/>
      </tp>
      <tp t="s">
        <v>#N/A N/A</v>
        <stp/>
        <stp>BDH|7090967999065594376</stp>
        <tr r="T62" s="4"/>
      </tp>
      <tp t="s">
        <v>#N/A N/A</v>
        <stp/>
        <stp>BDH|7400559223261682090</stp>
        <tr r="L12" s="2"/>
      </tp>
      <tp t="s">
        <v>#N/A N/A</v>
        <stp/>
        <stp>BDH|4782788852595157212</stp>
        <tr r="R63" s="4"/>
      </tp>
      <tp t="s">
        <v>#N/A N/A</v>
        <stp/>
        <stp>BDH|3512104149566802192</stp>
        <tr r="M35" s="3"/>
      </tp>
      <tp t="s">
        <v>#N/A N/A</v>
        <stp/>
        <stp>BDH|1250920722209709285</stp>
        <tr r="S14" s="4"/>
      </tp>
      <tp t="s">
        <v>#N/A N/A</v>
        <stp/>
        <stp>BDH|2622390692538377135</stp>
        <tr r="D9" s="3"/>
      </tp>
      <tp t="s">
        <v>#N/A N/A</v>
        <stp/>
        <stp>BDH|7613359289978123567</stp>
        <tr r="V66" s="3"/>
      </tp>
      <tp t="s">
        <v>#N/A N/A</v>
        <stp/>
        <stp>BDH|7982519809025547691</stp>
        <tr r="U72" s="3"/>
      </tp>
      <tp t="s">
        <v>#N/A N/A</v>
        <stp/>
        <stp>BDH|4179530635432881122</stp>
        <tr r="N23" s="3"/>
      </tp>
      <tp t="s">
        <v>#N/A N/A</v>
        <stp/>
        <stp>BDH|3345826882823858165</stp>
        <tr r="M15" s="3"/>
      </tp>
      <tp t="s">
        <v>#N/A N/A</v>
        <stp/>
        <stp>BDH|3104783848967591699</stp>
        <tr r="H89" s="3"/>
      </tp>
      <tp t="s">
        <v>#N/A N/A</v>
        <stp/>
        <stp>BDH|2977168357370354764</stp>
        <tr r="J59" s="4"/>
      </tp>
      <tp t="s">
        <v>#N/A N/A</v>
        <stp/>
        <stp>BDH|3204063718547684470</stp>
        <tr r="N40" s="3"/>
      </tp>
      <tp t="s">
        <v>#N/A N/A</v>
        <stp/>
        <stp>BDH|3980614806884544093</stp>
        <tr r="M31" s="4"/>
      </tp>
      <tp t="s">
        <v>#N/A N/A</v>
        <stp/>
        <stp>BDH|9718406147691765955</stp>
        <tr r="J35" s="2"/>
        <tr r="J47" s="2"/>
      </tp>
      <tp t="s">
        <v>#N/A N/A</v>
        <stp/>
        <stp>BDH|5992243179420415128</stp>
        <tr r="M84" s="3"/>
      </tp>
      <tp t="s">
        <v>#N/A N/A</v>
        <stp/>
        <stp>BDH|4584707741593548539</stp>
        <tr r="S65" s="2"/>
      </tp>
      <tp t="s">
        <v>#N/A N/A</v>
        <stp/>
        <stp>BDH|5916475492900755991</stp>
        <tr r="L70" s="2"/>
      </tp>
      <tp t="s">
        <v>#N/A N/A</v>
        <stp/>
        <stp>BDH|4616718580512357861</stp>
        <tr r="P70" s="2"/>
      </tp>
      <tp t="s">
        <v>#N/A N/A</v>
        <stp/>
        <stp>BDH|9697550584707311267</stp>
        <tr r="U84" s="3"/>
      </tp>
      <tp t="s">
        <v>#N/A N/A</v>
        <stp/>
        <stp>BDH|7611373671864085628</stp>
        <tr r="L19" s="3"/>
      </tp>
      <tp t="s">
        <v>#N/A N/A</v>
        <stp/>
        <stp>BDH|6311497592118396294</stp>
        <tr r="T93" s="3"/>
      </tp>
      <tp t="s">
        <v>#N/A N/A</v>
        <stp/>
        <stp>BDH|4475316768163744389</stp>
        <tr r="U40" s="2"/>
      </tp>
      <tp t="s">
        <v>#N/A N/A</v>
        <stp/>
        <stp>BDH|1460259797068024341</stp>
        <tr r="G24" s="3"/>
      </tp>
      <tp t="s">
        <v>#N/A N/A</v>
        <stp/>
        <stp>BDH|2135347365024320219</stp>
        <tr r="G67" s="3"/>
      </tp>
      <tp t="s">
        <v>#N/A N/A</v>
        <stp/>
        <stp>BDH|3749648481718409445</stp>
        <tr r="I61" s="2"/>
      </tp>
      <tp t="s">
        <v>#N/A N/A</v>
        <stp/>
        <stp>BDH|1868449046892919218</stp>
        <tr r="X46" s="2"/>
      </tp>
      <tp t="s">
        <v>#N/A N/A</v>
        <stp/>
        <stp>BDH|1349997187752618384</stp>
        <tr r="C65" s="2"/>
      </tp>
      <tp t="s">
        <v>#N/A N/A</v>
        <stp/>
        <stp>BDH|6286322543621840189</stp>
        <tr r="Q29" s="4"/>
      </tp>
      <tp t="s">
        <v>#N/A N/A</v>
        <stp/>
        <stp>BDH|3000448947770370239</stp>
        <tr r="M29" s="3"/>
      </tp>
      <tp t="s">
        <v>#N/A N/A</v>
        <stp/>
        <stp>BDH|3165054004492653051</stp>
        <tr r="D71" s="2"/>
      </tp>
      <tp t="s">
        <v>#N/A N/A</v>
        <stp/>
        <stp>BDH|8699969555134711114</stp>
        <tr r="V28" s="4"/>
      </tp>
      <tp t="s">
        <v>#N/A N/A</v>
        <stp/>
        <stp>BDH|9296130816051382977</stp>
        <tr r="N64" s="2"/>
      </tp>
      <tp t="s">
        <v>#N/A N/A</v>
        <stp/>
        <stp>BDH|9727305045208942788</stp>
        <tr r="U16" s="2"/>
      </tp>
      <tp t="s">
        <v>#N/A N/A</v>
        <stp/>
        <stp>BDH|1977098882088963081</stp>
        <tr r="S8" s="4"/>
      </tp>
      <tp t="s">
        <v>#N/A N/A</v>
        <stp/>
        <stp>BDH|2104412071244319419</stp>
        <tr r="C51" s="2"/>
      </tp>
      <tp t="s">
        <v>#N/A N/A</v>
        <stp/>
        <stp>BDH|2846201901867933636</stp>
        <tr r="E29" s="2"/>
      </tp>
      <tp t="s">
        <v>#N/A N/A</v>
        <stp/>
        <stp>BDH|5001561286339003039</stp>
        <tr r="H13" s="2"/>
      </tp>
      <tp t="s">
        <v>#N/A N/A</v>
        <stp/>
        <stp>BDH|6284590885442522885</stp>
        <tr r="Z10" s="3"/>
      </tp>
      <tp t="s">
        <v>#N/A N/A</v>
        <stp/>
        <stp>BDH|4584000756489915997</stp>
        <tr r="F17" s="2"/>
      </tp>
      <tp t="s">
        <v>#N/A N/A</v>
        <stp/>
        <stp>BDH|8083380689974452668</stp>
        <tr r="M86" s="3"/>
      </tp>
      <tp t="s">
        <v>#N/A N/A</v>
        <stp/>
        <stp>BDH|2979641953857894758</stp>
        <tr r="V14" s="2"/>
      </tp>
      <tp t="s">
        <v>#N/A N/A</v>
        <stp/>
        <stp>BDH|7596953695587612101</stp>
        <tr r="I24" s="4"/>
      </tp>
      <tp t="s">
        <v>#N/A N/A</v>
        <stp/>
        <stp>BDH|5581860445970773817</stp>
        <tr r="M70" s="3"/>
      </tp>
      <tp t="s">
        <v>#N/A N/A</v>
        <stp/>
        <stp>BDH|7327091702394802201</stp>
        <tr r="F30" s="2"/>
      </tp>
      <tp t="s">
        <v>#N/A N/A</v>
        <stp/>
        <stp>BDH|3466301503192564320</stp>
        <tr r="Z50" s="4"/>
      </tp>
      <tp t="s">
        <v>#N/A N/A</v>
        <stp/>
        <stp>BDH|6290277849754520598</stp>
        <tr r="P54" s="4"/>
      </tp>
      <tp t="s">
        <v>#N/A N/A</v>
        <stp/>
        <stp>BDH|1082396909825238627</stp>
        <tr r="H75" s="3"/>
      </tp>
      <tp t="s">
        <v>#N/A N/A</v>
        <stp/>
        <stp>BDH|2356606843259305833</stp>
        <tr r="S27" s="3"/>
      </tp>
      <tp t="s">
        <v>#N/A N/A</v>
        <stp/>
        <stp>BDH|7722056006022609426</stp>
        <tr r="T14" s="2"/>
      </tp>
      <tp t="s">
        <v>#N/A N/A</v>
        <stp/>
        <stp>BDH|7038079375003382217</stp>
        <tr r="P16" s="3"/>
      </tp>
      <tp t="s">
        <v>#N/A N/A</v>
        <stp/>
        <stp>BDH|9716022955728419542</stp>
        <tr r="G18" s="4"/>
      </tp>
      <tp t="s">
        <v>#N/A N/A</v>
        <stp/>
        <stp>BDH|7735943768149869031</stp>
        <tr r="X21" s="4"/>
      </tp>
      <tp t="s">
        <v>#N/A N/A</v>
        <stp/>
        <stp>BDH|4991110542745830524</stp>
        <tr r="Z32" s="2"/>
      </tp>
      <tp t="s">
        <v>#N/A N/A</v>
        <stp/>
        <stp>BDH|4014451436294301609</stp>
        <tr r="Z9" s="2"/>
      </tp>
      <tp t="s">
        <v>#N/A N/A</v>
        <stp/>
        <stp>BDH|1448599715436057287</stp>
        <tr r="W37" s="4"/>
      </tp>
      <tp t="s">
        <v>#N/A N/A</v>
        <stp/>
        <stp>BDH|4159525414815527421</stp>
        <tr r="O8" s="2"/>
      </tp>
      <tp t="s">
        <v>#N/A N/A</v>
        <stp/>
        <stp>BDH|3284200105348744800</stp>
        <tr r="L68" s="2"/>
      </tp>
      <tp t="s">
        <v>#N/A N/A</v>
        <stp/>
        <stp>BDH|6560951179768866118</stp>
        <tr r="C45" s="4"/>
      </tp>
      <tp t="s">
        <v>#N/A N/A</v>
        <stp/>
        <stp>BDH|8803112019981172812</stp>
        <tr r="P73" s="3"/>
      </tp>
      <tp t="s">
        <v>#N/A N/A</v>
        <stp/>
        <stp>BDH|4947482322721288208</stp>
        <tr r="Q16" s="4"/>
      </tp>
      <tp t="s">
        <v>#N/A N/A</v>
        <stp/>
        <stp>BDH|7735462794148274365</stp>
        <tr r="D14" s="2"/>
      </tp>
      <tp t="s">
        <v>#N/A N/A</v>
        <stp/>
        <stp>BDH|3287676647797680753</stp>
        <tr r="F27" s="3"/>
      </tp>
      <tp t="s">
        <v>#N/A N/A</v>
        <stp/>
        <stp>BDH|4905987167098768204</stp>
        <tr r="V15" s="3"/>
      </tp>
      <tp t="s">
        <v>#N/A N/A</v>
        <stp/>
        <stp>BDH|9638879429525132780</stp>
        <tr r="C35" s="3"/>
      </tp>
      <tp t="s">
        <v>#N/A N/A</v>
        <stp/>
        <stp>BDH|2547028050450295630</stp>
        <tr r="R49" s="4"/>
      </tp>
      <tp t="s">
        <v>#N/A N/A</v>
        <stp/>
        <stp>BDH|2042945354469200646</stp>
        <tr r="N19" s="2"/>
      </tp>
      <tp t="s">
        <v>#N/A N/A</v>
        <stp/>
        <stp>BDH|4394417819597890754</stp>
        <tr r="C69" s="2"/>
      </tp>
      <tp t="s">
        <v>#N/A N/A</v>
        <stp/>
        <stp>BDH|2764128605043100176</stp>
        <tr r="J42" s="4"/>
      </tp>
      <tp t="s">
        <v>#N/A N/A</v>
        <stp/>
        <stp>BDH|7099300913204503003</stp>
        <tr r="H6" s="2"/>
      </tp>
      <tp t="s">
        <v>#N/A N/A</v>
        <stp/>
        <stp>BDH|2421026370555520158</stp>
        <tr r="W59" s="3"/>
      </tp>
      <tp t="s">
        <v>#N/A N/A</v>
        <stp/>
        <stp>BDH|6040242666677485402</stp>
        <tr r="G83" s="3"/>
      </tp>
      <tp t="s">
        <v>#N/A N/A</v>
        <stp/>
        <stp>BDH|1947718582896882946</stp>
        <tr r="C65" s="3"/>
      </tp>
      <tp t="s">
        <v>#N/A N/A</v>
        <stp/>
        <stp>BDH|1103135796878293008</stp>
        <tr r="G50" s="3"/>
      </tp>
      <tp t="s">
        <v>#N/A N/A</v>
        <stp/>
        <stp>BDH|9772912705784548509</stp>
        <tr r="K94" s="3"/>
      </tp>
      <tp t="s">
        <v>#N/A N/A</v>
        <stp/>
        <stp>BDH|6151056105411537635</stp>
        <tr r="L15" s="3"/>
      </tp>
      <tp t="s">
        <v>#N/A N/A</v>
        <stp/>
        <stp>BDH|5471460307300040023</stp>
        <tr r="P46" s="4"/>
      </tp>
      <tp t="s">
        <v>#N/A N/A</v>
        <stp/>
        <stp>BDH|5491274021883661730</stp>
        <tr r="R50" s="4"/>
      </tp>
      <tp t="s">
        <v>#N/A N/A</v>
        <stp/>
        <stp>BDH|3335224563547065150</stp>
        <tr r="M77" s="3"/>
      </tp>
      <tp t="s">
        <v>#N/A N/A</v>
        <stp/>
        <stp>BDH|2453215055932656615</stp>
        <tr r="R29" s="3"/>
      </tp>
      <tp t="s">
        <v>#N/A N/A</v>
        <stp/>
        <stp>BDH|3755258454545218030</stp>
        <tr r="X29" s="4"/>
      </tp>
      <tp t="s">
        <v>#N/A N/A</v>
        <stp/>
        <stp>BDH|3149504732765172159</stp>
        <tr r="Y55" s="3"/>
      </tp>
      <tp t="s">
        <v>#N/A N/A</v>
        <stp/>
        <stp>BDH|1002889519679744010</stp>
        <tr r="R13" s="2"/>
      </tp>
      <tp t="s">
        <v>#N/A N/A</v>
        <stp/>
        <stp>BDH|5629243356953438070</stp>
        <tr r="D44" s="4"/>
      </tp>
      <tp t="s">
        <v>#N/A N/A</v>
        <stp/>
        <stp>BDH|4169480906115848408</stp>
        <tr r="K15" s="4"/>
      </tp>
      <tp t="s">
        <v>#N/A N/A</v>
        <stp/>
        <stp>BDH|9643633328765291983</stp>
        <tr r="U9" s="2"/>
      </tp>
      <tp t="s">
        <v>#N/A N/A</v>
        <stp/>
        <stp>BDH|9504761846919558270</stp>
        <tr r="M57" s="2"/>
      </tp>
      <tp t="s">
        <v>#N/A N/A</v>
        <stp/>
        <stp>BDH|4525020923895635256</stp>
        <tr r="R92" s="3"/>
      </tp>
      <tp t="s">
        <v>#N/A N/A</v>
        <stp/>
        <stp>BDH|1361453771144069732</stp>
        <tr r="V34" s="3"/>
      </tp>
      <tp t="s">
        <v>#N/A N/A</v>
        <stp/>
        <stp>BDH|4320410331797121567</stp>
        <tr r="G48" s="3"/>
      </tp>
      <tp t="s">
        <v>#N/A N/A</v>
        <stp/>
        <stp>BDH|4499743150842665527</stp>
        <tr r="L32" s="4"/>
      </tp>
      <tp t="s">
        <v>#N/A N/A</v>
        <stp/>
        <stp>BDH|8619260327798109125</stp>
        <tr r="M59" s="4"/>
      </tp>
      <tp t="s">
        <v>#N/A N/A</v>
        <stp/>
        <stp>BDH|3517540313362229442</stp>
        <tr r="X31" s="2"/>
      </tp>
      <tp t="s">
        <v>#N/A N/A</v>
        <stp/>
        <stp>BDH|1756128220947928482</stp>
        <tr r="T82" s="3"/>
      </tp>
      <tp t="s">
        <v>#N/A N/A</v>
        <stp/>
        <stp>BDH|5621534185311214863</stp>
        <tr r="N64" s="4"/>
      </tp>
      <tp t="s">
        <v>#N/A N/A</v>
        <stp/>
        <stp>BDH|5027607036970586172</stp>
        <tr r="N29" s="3"/>
      </tp>
      <tp t="s">
        <v>#N/A N/A</v>
        <stp/>
        <stp>BDH|8303760917159086660</stp>
        <tr r="O10" s="3"/>
      </tp>
      <tp t="s">
        <v>#N/A N/A</v>
        <stp/>
        <stp>BDH|6040478201560268305</stp>
        <tr r="C44" s="4"/>
      </tp>
      <tp t="s">
        <v>#N/A N/A</v>
        <stp/>
        <stp>BDH|5605021274891740237</stp>
        <tr r="T91" s="3"/>
      </tp>
      <tp t="s">
        <v>#N/A N/A</v>
        <stp/>
        <stp>BDH|7258658426443319165</stp>
        <tr r="F46" s="2"/>
      </tp>
      <tp t="s">
        <v>#N/A N/A</v>
        <stp/>
        <stp>BDH|9419120697349666925</stp>
        <tr r="F26" s="3"/>
      </tp>
      <tp t="s">
        <v>#N/A N/A</v>
        <stp/>
        <stp>BDH|3674179950825464300</stp>
        <tr r="U11" s="2"/>
      </tp>
      <tp t="s">
        <v>#N/A N/A</v>
        <stp/>
        <stp>BDH|6593302800015014109</stp>
        <tr r="L21" s="2"/>
      </tp>
      <tp t="s">
        <v>#N/A N/A</v>
        <stp/>
        <stp>BDH|7984998045239630264</stp>
        <tr r="Z10" s="2"/>
      </tp>
      <tp t="s">
        <v>#N/A N/A</v>
        <stp/>
        <stp>BDH|8572135145934087866</stp>
        <tr r="Q87" s="3"/>
      </tp>
      <tp t="s">
        <v>#N/A N/A</v>
        <stp/>
        <stp>BDH|8506242204229615265</stp>
        <tr r="Y67" s="2"/>
      </tp>
      <tp t="s">
        <v>#N/A N/A</v>
        <stp/>
        <stp>BDH|4787349061494596428</stp>
        <tr r="M70" s="2"/>
      </tp>
      <tp t="s">
        <v>#N/A N/A</v>
        <stp/>
        <stp>BDH|5091527630446596424</stp>
        <tr r="I50" s="4"/>
      </tp>
      <tp t="s">
        <v>#N/A N/A</v>
        <stp/>
        <stp>BDH|3987756152319389982</stp>
        <tr r="Q68" s="2"/>
      </tp>
      <tp t="s">
        <v>#N/A N/A</v>
        <stp/>
        <stp>BDH|6905210408926307360</stp>
        <tr r="G84" s="3"/>
      </tp>
      <tp t="s">
        <v>#N/A N/A</v>
        <stp/>
        <stp>BDH|58872655094584502</stp>
        <tr r="O8" s="4"/>
      </tp>
      <tp t="s">
        <v>#N/A N/A</v>
        <stp/>
        <stp>BDH|64443334993926816</stp>
        <tr r="S39" s="3"/>
      </tp>
      <tp t="s">
        <v>#N/A N/A</v>
        <stp/>
        <stp>BDH|4922320274891632339</stp>
        <tr r="V10" s="4"/>
      </tp>
      <tp t="s">
        <v>#N/A N/A</v>
        <stp/>
        <stp>BDH|7451857865258846366</stp>
        <tr r="C49" s="2"/>
      </tp>
      <tp t="s">
        <v>#N/A N/A</v>
        <stp/>
        <stp>BDH|3677583263630042272</stp>
        <tr r="N89" s="3"/>
      </tp>
      <tp t="s">
        <v>#N/A N/A</v>
        <stp/>
        <stp>BDH|8642214773149943671</stp>
        <tr r="R45" s="3"/>
      </tp>
      <tp t="s">
        <v>#N/A N/A</v>
        <stp/>
        <stp>BDH|7485187984598320414</stp>
        <tr r="V74" s="3"/>
      </tp>
      <tp t="s">
        <v>#N/A N/A</v>
        <stp/>
        <stp>BDH|1913633624611538619</stp>
        <tr r="H52" s="3"/>
      </tp>
      <tp t="s">
        <v>#N/A N/A</v>
        <stp/>
        <stp>BDH|9876356448035745994</stp>
        <tr r="G82" s="3"/>
      </tp>
      <tp t="s">
        <v>#N/A N/A</v>
        <stp/>
        <stp>BDH|9764872278050328405</stp>
        <tr r="O71" s="3"/>
      </tp>
      <tp t="s">
        <v>#N/A N/A</v>
        <stp/>
        <stp>BDH|3897935795307193641</stp>
        <tr r="L58" s="3"/>
      </tp>
      <tp t="s">
        <v>#N/A N/A</v>
        <stp/>
        <stp>BDH|2239798471447210738</stp>
        <tr r="C21" s="2"/>
      </tp>
      <tp t="s">
        <v>#N/A N/A</v>
        <stp/>
        <stp>BDH|3990729731840684579</stp>
        <tr r="J21" s="2"/>
      </tp>
      <tp t="s">
        <v>#N/A N/A</v>
        <stp/>
        <stp>BDH|9968766642389684103</stp>
        <tr r="E61" s="4"/>
      </tp>
      <tp t="s">
        <v>#N/A N/A</v>
        <stp/>
        <stp>BDH|6487132964525037684</stp>
        <tr r="P28" s="4"/>
      </tp>
      <tp t="s">
        <v>#N/A N/A</v>
        <stp/>
        <stp>BDH|8080574863060747983</stp>
        <tr r="C61" s="2"/>
      </tp>
      <tp t="s">
        <v>#N/A N/A</v>
        <stp/>
        <stp>BDH|8330626925627670999</stp>
        <tr r="S40" s="3"/>
      </tp>
      <tp t="s">
        <v>#N/A N/A</v>
        <stp/>
        <stp>BDH|3874432274973124152</stp>
        <tr r="Y24" s="4"/>
      </tp>
      <tp t="s">
        <v>#N/A N/A</v>
        <stp/>
        <stp>BDH|5694204635235061385</stp>
        <tr r="V45" s="3"/>
      </tp>
      <tp t="s">
        <v>#N/A N/A</v>
        <stp/>
        <stp>BDH|4563881816807553854</stp>
        <tr r="J60" s="4"/>
      </tp>
      <tp t="s">
        <v>#N/A N/A</v>
        <stp/>
        <stp>BDH|2542811430778496389</stp>
        <tr r="L91" s="3"/>
      </tp>
      <tp t="s">
        <v>#N/A N/A</v>
        <stp/>
        <stp>BDH|4373057078739352850</stp>
        <tr r="S49" s="2"/>
      </tp>
      <tp t="s">
        <v>#N/A N/A</v>
        <stp/>
        <stp>BDH|6831438186840155843</stp>
        <tr r="K84" s="3"/>
      </tp>
      <tp t="s">
        <v>#N/A N/A</v>
        <stp/>
        <stp>BDH|8503587689362507592</stp>
        <tr r="N48" s="3"/>
      </tp>
      <tp t="s">
        <v>#N/A N/A</v>
        <stp/>
        <stp>BDH|4299497549787299195</stp>
        <tr r="M21" s="3"/>
      </tp>
      <tp t="s">
        <v>#N/A N/A</v>
        <stp/>
        <stp>BDH|7843844103769724411</stp>
        <tr r="G38" s="3"/>
      </tp>
      <tp t="s">
        <v>#N/A N/A</v>
        <stp/>
        <stp>BDH|7955753459367447086</stp>
        <tr r="Z85" s="3"/>
      </tp>
      <tp t="s">
        <v>#N/A N/A</v>
        <stp/>
        <stp>BDH|6378943977583068990</stp>
        <tr r="T52" s="4"/>
      </tp>
      <tp t="s">
        <v>#N/A N/A</v>
        <stp/>
        <stp>BDH|2734746364830833167</stp>
        <tr r="W13" s="3"/>
      </tp>
      <tp t="s">
        <v>#N/A N/A</v>
        <stp/>
        <stp>BDH|6187312789648238724</stp>
        <tr r="O11" s="4"/>
      </tp>
      <tp t="s">
        <v>#N/A N/A</v>
        <stp/>
        <stp>BDH|2958858588163436395</stp>
        <tr r="L29" s="4"/>
      </tp>
      <tp t="s">
        <v>#N/A N/A</v>
        <stp/>
        <stp>BDH|2757250932789091896</stp>
        <tr r="P83" s="3"/>
      </tp>
      <tp t="s">
        <v>#N/A N/A</v>
        <stp/>
        <stp>BDH|8672283093935656427</stp>
        <tr r="T10" s="3"/>
      </tp>
      <tp t="s">
        <v>#N/A N/A</v>
        <stp/>
        <stp>BDH|3531362603842170080</stp>
        <tr r="S34" s="2"/>
      </tp>
      <tp t="s">
        <v>#N/A N/A</v>
        <stp/>
        <stp>BDH|6290561453967901300</stp>
        <tr r="K61" s="3"/>
      </tp>
      <tp t="s">
        <v>#N/A N/A</v>
        <stp/>
        <stp>BDH|5659034260424830537</stp>
        <tr r="K16" s="4"/>
      </tp>
      <tp t="s">
        <v>#N/A N/A</v>
        <stp/>
        <stp>BDH|3547790363082431252</stp>
        <tr r="D33" s="3"/>
      </tp>
      <tp t="s">
        <v>#N/A N/A</v>
        <stp/>
        <stp>BDH|6507063840734841459</stp>
        <tr r="L27" s="4"/>
      </tp>
      <tp t="s">
        <v>#N/A N/A</v>
        <stp/>
        <stp>BDH|8916856214655744618</stp>
        <tr r="I68" s="3"/>
      </tp>
      <tp t="s">
        <v>#N/A N/A</v>
        <stp/>
        <stp>BDH|5978763502879729942</stp>
        <tr r="G15" s="3"/>
      </tp>
      <tp t="s">
        <v>#N/A N/A</v>
        <stp/>
        <stp>BDH|9193580189893880565</stp>
        <tr r="E63" s="2"/>
      </tp>
      <tp t="s">
        <v>#N/A N/A</v>
        <stp/>
        <stp>BDH|6042338220226836353</stp>
        <tr r="L15" s="2"/>
      </tp>
      <tp t="s">
        <v>#N/A N/A</v>
        <stp/>
        <stp>BDH|8856425075021073802</stp>
        <tr r="L70" s="3"/>
      </tp>
      <tp t="s">
        <v>#N/A N/A</v>
        <stp/>
        <stp>BDH|6764873741410833867</stp>
        <tr r="D50" s="3"/>
      </tp>
      <tp t="s">
        <v>#N/A N/A</v>
        <stp/>
        <stp>BDH|7838201505560647747</stp>
        <tr r="X10" s="4"/>
      </tp>
      <tp t="s">
        <v>#N/A N/A</v>
        <stp/>
        <stp>BDH|8544820808576762473</stp>
        <tr r="H10" s="4"/>
      </tp>
      <tp t="s">
        <v>#N/A N/A</v>
        <stp/>
        <stp>BDH|7262748142601935720</stp>
        <tr r="I40" s="2"/>
      </tp>
      <tp t="s">
        <v>#N/A N/A</v>
        <stp/>
        <stp>BDH|4870758824795247640</stp>
        <tr r="L48" s="3"/>
      </tp>
      <tp t="s">
        <v>#N/A N/A</v>
        <stp/>
        <stp>BDH|3891277700176182518</stp>
        <tr r="W50" s="4"/>
      </tp>
      <tp t="s">
        <v>#N/A N/A</v>
        <stp/>
        <stp>BDH|6648753336960852024</stp>
        <tr r="T44" s="4"/>
      </tp>
      <tp t="s">
        <v>#N/A N/A</v>
        <stp/>
        <stp>BDH|8232380787959111835</stp>
        <tr r="N36" s="4"/>
      </tp>
      <tp t="s">
        <v>#N/A N/A</v>
        <stp/>
        <stp>BDH|5546729148034359036</stp>
        <tr r="K72" s="2"/>
      </tp>
      <tp t="s">
        <v>#N/A N/A</v>
        <stp/>
        <stp>BDH|3854657113870230608</stp>
        <tr r="Y26" s="4"/>
      </tp>
      <tp t="s">
        <v>#N/A N/A</v>
        <stp/>
        <stp>BDH|8867846287102657810</stp>
        <tr r="W28" s="2"/>
      </tp>
      <tp t="s">
        <v>#N/A N/A</v>
        <stp/>
        <stp>BDH|1569391740432572652</stp>
        <tr r="Q62" s="2"/>
      </tp>
      <tp t="s">
        <v>#N/A N/A</v>
        <stp/>
        <stp>BDH|8856100340397244864</stp>
        <tr r="T32" s="2"/>
      </tp>
      <tp t="s">
        <v>#N/A N/A</v>
        <stp/>
        <stp>BDH|7957278722916690364</stp>
        <tr r="X31" s="4"/>
      </tp>
      <tp t="s">
        <v>#N/A N/A</v>
        <stp/>
        <stp>BDH|1789296815164554425</stp>
        <tr r="K16" s="2"/>
      </tp>
      <tp t="s">
        <v>#N/A N/A</v>
        <stp/>
        <stp>BDH|5606338876402737181</stp>
        <tr r="C8" s="3"/>
      </tp>
      <tp t="s">
        <v>#N/A N/A</v>
        <stp/>
        <stp>BDH|7332832725538930715</stp>
        <tr r="V60" s="3"/>
      </tp>
      <tp t="s">
        <v>#N/A N/A</v>
        <stp/>
        <stp>BDH|5753278068130092350</stp>
        <tr r="J21" s="3"/>
      </tp>
      <tp t="s">
        <v>#N/A N/A</v>
        <stp/>
        <stp>BDH|2876926284946759748</stp>
        <tr r="Q47" s="4"/>
      </tp>
      <tp t="s">
        <v>#N/A N/A</v>
        <stp/>
        <stp>BDH|3874159095119134048</stp>
        <tr r="F61" s="3"/>
      </tp>
      <tp t="s">
        <v>#N/A N/A</v>
        <stp/>
        <stp>BDH|5756593472601908484</stp>
        <tr r="Q52" s="4"/>
      </tp>
      <tp t="s">
        <v>#N/A N/A</v>
        <stp/>
        <stp>BDH|4069052038520918596</stp>
        <tr r="G29" s="4"/>
      </tp>
      <tp t="s">
        <v>#N/A N/A</v>
        <stp/>
        <stp>BDH|9536846374746828206</stp>
        <tr r="Y36" s="4"/>
      </tp>
      <tp t="s">
        <v>#N/A N/A</v>
        <stp/>
        <stp>BDH|3287149694939904063</stp>
        <tr r="K36" s="4"/>
      </tp>
      <tp t="s">
        <v>#N/A N/A</v>
        <stp/>
        <stp>BDH|1848337361021591720</stp>
        <tr r="U52" s="4"/>
      </tp>
      <tp t="s">
        <v>#N/A N/A</v>
        <stp/>
        <stp>BDH|1328589705685517361</stp>
        <tr r="M69" s="3"/>
      </tp>
      <tp t="s">
        <v>#N/A N/A</v>
        <stp/>
        <stp>BDH|9295873229175947483</stp>
        <tr r="M40" s="3"/>
      </tp>
      <tp t="s">
        <v>#N/A N/A</v>
        <stp/>
        <stp>BDH|9732500049223855944</stp>
        <tr r="P64" s="4"/>
      </tp>
      <tp t="s">
        <v>#N/A N/A</v>
        <stp/>
        <stp>BDH|4190410606063418108</stp>
        <tr r="W34" s="3"/>
      </tp>
      <tp t="s">
        <v>#N/A N/A</v>
        <stp/>
        <stp>BDH|3095817992820135005</stp>
        <tr r="Y29" s="2"/>
      </tp>
      <tp t="s">
        <v>#N/A N/A</v>
        <stp/>
        <stp>BDH|5266874995505172333</stp>
        <tr r="I63" s="2"/>
      </tp>
      <tp t="s">
        <v>#N/A N/A</v>
        <stp/>
        <stp>BDH|3524804995411477166</stp>
        <tr r="E43" s="2"/>
      </tp>
      <tp t="s">
        <v>#N/A N/A</v>
        <stp/>
        <stp>BDH|9723277001241422871</stp>
        <tr r="M57" s="3"/>
      </tp>
      <tp t="s">
        <v>#N/A N/A</v>
        <stp/>
        <stp>BDH|5957492726624701535</stp>
        <tr r="K32" s="3"/>
      </tp>
      <tp t="s">
        <v>#N/A N/A</v>
        <stp/>
        <stp>BDH|4634075409174204281</stp>
        <tr r="G28" s="2"/>
      </tp>
      <tp t="s">
        <v>#N/A N/A</v>
        <stp/>
        <stp>BDH|7768674186203742832</stp>
        <tr r="E40" s="4"/>
      </tp>
      <tp t="s">
        <v>#N/A N/A</v>
        <stp/>
        <stp>BDH|6096233286718210655</stp>
        <tr r="Y56" s="2"/>
      </tp>
      <tp t="s">
        <v>#N/A N/A</v>
        <stp/>
        <stp>BDH|9870466437218866438</stp>
        <tr r="L34" s="2"/>
      </tp>
      <tp t="s">
        <v>#N/A N/A</v>
        <stp/>
        <stp>BDH|4200775491699362159</stp>
        <tr r="F40" s="4"/>
      </tp>
      <tp t="s">
        <v>#N/A N/A</v>
        <stp/>
        <stp>BDH|7786662922842049319</stp>
        <tr r="H58" s="3"/>
      </tp>
      <tp t="s">
        <v>#N/A N/A</v>
        <stp/>
        <stp>BDH|7409119707682158614</stp>
        <tr r="S92" s="3"/>
      </tp>
      <tp t="s">
        <v>#N/A N/A</v>
        <stp/>
        <stp>BDH|3688740871639676868</stp>
        <tr r="U88" s="3"/>
      </tp>
      <tp t="s">
        <v>#N/A N/A</v>
        <stp/>
        <stp>BDH|4340726443782237737</stp>
        <tr r="U39" s="3"/>
      </tp>
      <tp t="s">
        <v>#N/A N/A</v>
        <stp/>
        <stp>BDH|5772456018452949003</stp>
        <tr r="U31" s="4"/>
      </tp>
      <tp t="s">
        <v>#N/A N/A</v>
        <stp/>
        <stp>BDH|5458139600141581711</stp>
        <tr r="D17" s="4"/>
      </tp>
      <tp t="s">
        <v>#N/A N/A</v>
        <stp/>
        <stp>BDH|6336046519785405098</stp>
        <tr r="T42" s="4"/>
      </tp>
      <tp t="s">
        <v>#N/A N/A</v>
        <stp/>
        <stp>BDH|6348430993780280927</stp>
        <tr r="C49" s="3"/>
      </tp>
      <tp t="s">
        <v>#N/A N/A</v>
        <stp/>
        <stp>BDH|7601801583475184072</stp>
        <tr r="K35" s="3"/>
      </tp>
      <tp t="s">
        <v>#N/A N/A</v>
        <stp/>
        <stp>BDH|5995289231106778049</stp>
        <tr r="G49" s="2"/>
      </tp>
      <tp t="s">
        <v>#N/A N/A</v>
        <stp/>
        <stp>BDH|7624852052830998880</stp>
        <tr r="R12" s="3"/>
      </tp>
      <tp t="s">
        <v>#N/A N/A</v>
        <stp/>
        <stp>BDH|6367881596173924647</stp>
        <tr r="C52" s="4"/>
      </tp>
      <tp t="s">
        <v>#N/A N/A</v>
        <stp/>
        <stp>BDH|5417503843596651016</stp>
        <tr r="O22" s="3"/>
      </tp>
      <tp t="s">
        <v>#N/A N/A</v>
        <stp/>
        <stp>BDH|7084152135874722374</stp>
        <tr r="C50" s="4"/>
      </tp>
      <tp t="s">
        <v>#N/A N/A</v>
        <stp/>
        <stp>BDH|7431891978158456212</stp>
        <tr r="T46" s="2"/>
      </tp>
      <tp t="s">
        <v>#N/A N/A</v>
        <stp/>
        <stp>BDH|8819680235366636935</stp>
        <tr r="H46" s="3"/>
      </tp>
      <tp t="s">
        <v>#N/A N/A</v>
        <stp/>
        <stp>BDH|8761206322452439810</stp>
        <tr r="R66" s="4"/>
      </tp>
      <tp t="s">
        <v>#N/A N/A</v>
        <stp/>
        <stp>BDH|7093422589489850030</stp>
        <tr r="T18" s="2"/>
      </tp>
      <tp t="s">
        <v>#N/A N/A</v>
        <stp/>
        <stp>BDH|6713476774950507712</stp>
        <tr r="Q56" s="3"/>
      </tp>
      <tp t="s">
        <v>#N/A N/A</v>
        <stp/>
        <stp>BDH|5997140300655513382</stp>
        <tr r="J61" s="3"/>
      </tp>
      <tp t="s">
        <v>#N/A N/A</v>
        <stp/>
        <stp>BDH|9481161474714668904</stp>
        <tr r="S51" s="2"/>
      </tp>
      <tp t="s">
        <v>#N/A N/A</v>
        <stp/>
        <stp>BDH|1814646426670895739</stp>
        <tr r="J33" s="4"/>
      </tp>
      <tp t="s">
        <v>#N/A N/A</v>
        <stp/>
        <stp>BDH|8185503614969519712</stp>
        <tr r="E58" s="4"/>
      </tp>
      <tp t="s">
        <v>#N/A N/A</v>
        <stp/>
        <stp>BDH|8993896564195791126</stp>
        <tr r="S58" s="3"/>
      </tp>
      <tp t="s">
        <v>#N/A N/A</v>
        <stp/>
        <stp>BDH|1359756707134906091</stp>
        <tr r="N28" s="3"/>
      </tp>
      <tp t="s">
        <v>#N/A N/A</v>
        <stp/>
        <stp>BDH|8435041856367620811</stp>
        <tr r="C20" s="2"/>
      </tp>
      <tp t="s">
        <v>#N/A N/A</v>
        <stp/>
        <stp>BDH|3615330521174723425</stp>
        <tr r="X56" s="2"/>
      </tp>
      <tp t="s">
        <v>#N/A N/A</v>
        <stp/>
        <stp>BDH|5452482896712821835</stp>
        <tr r="S20" s="2"/>
      </tp>
      <tp t="s">
        <v>#N/A N/A</v>
        <stp/>
        <stp>BDH|6132615832404672553</stp>
        <tr r="N90" s="3"/>
      </tp>
      <tp t="s">
        <v>#N/A N/A</v>
        <stp/>
        <stp>BDH|8850364539449292346</stp>
        <tr r="I74" s="3"/>
      </tp>
      <tp t="s">
        <v>#N/A N/A</v>
        <stp/>
        <stp>BDH|5665013947333586042</stp>
        <tr r="C77" s="3"/>
      </tp>
      <tp t="s">
        <v>#N/A N/A</v>
        <stp/>
        <stp>BDH|6564738027730602167</stp>
        <tr r="P54" s="3"/>
      </tp>
      <tp t="s">
        <v>#N/A N/A</v>
        <stp/>
        <stp>BDH|4457263204962387636</stp>
        <tr r="S66" s="4"/>
      </tp>
      <tp t="s">
        <v>#N/A N/A</v>
        <stp/>
        <stp>BDH|3566156956421968493</stp>
        <tr r="D22" s="2"/>
      </tp>
      <tp t="s">
        <v>#N/A N/A</v>
        <stp/>
        <stp>BDH|1411540545521308305</stp>
        <tr r="M45" s="4"/>
      </tp>
      <tp t="s">
        <v>#N/A N/A</v>
        <stp/>
        <stp>BDH|3945309252893953443</stp>
        <tr r="H43" s="2"/>
      </tp>
      <tp t="s">
        <v>#N/A N/A</v>
        <stp/>
        <stp>BDH|5935286676284230637</stp>
        <tr r="H40" s="4"/>
      </tp>
      <tp t="s">
        <v>#N/A N/A</v>
        <stp/>
        <stp>BDH|8503229899681189095</stp>
        <tr r="W77" s="3"/>
      </tp>
      <tp t="s">
        <v>#N/A N/A</v>
        <stp/>
        <stp>BDH|7766967641040643801</stp>
        <tr r="X23" s="4"/>
      </tp>
      <tp t="s">
        <v>#N/A N/A</v>
        <stp/>
        <stp>BDH|6482339270733863396</stp>
        <tr r="L13" s="2"/>
      </tp>
      <tp t="s">
        <v>#N/A N/A</v>
        <stp/>
        <stp>BDH|6112527620151278279</stp>
        <tr r="C66" s="4"/>
      </tp>
      <tp t="s">
        <v>#N/A N/A</v>
        <stp/>
        <stp>BDH|2680836868679929722</stp>
        <tr r="J25" s="2"/>
      </tp>
      <tp t="s">
        <v>#N/A N/A</v>
        <stp/>
        <stp>BDH|7511843966962838993</stp>
        <tr r="W25" s="4"/>
      </tp>
      <tp t="s">
        <v>#N/A N/A</v>
        <stp/>
        <stp>BDH|9527998997419803252</stp>
        <tr r="U31" s="2"/>
      </tp>
      <tp t="s">
        <v>#N/A N/A</v>
        <stp/>
        <stp>BDH|9428468585861094614</stp>
        <tr r="C86" s="3"/>
      </tp>
      <tp t="s">
        <v>#N/A N/A</v>
        <stp/>
        <stp>BDH|1736359565882754476</stp>
        <tr r="P8" s="3"/>
      </tp>
      <tp t="s">
        <v>#N/A N/A</v>
        <stp/>
        <stp>BDH|5599534709766093482</stp>
        <tr r="Y92" s="3"/>
      </tp>
      <tp t="s">
        <v>#N/A N/A</v>
        <stp/>
        <stp>BDH|6328824244759551174</stp>
        <tr r="Y55" s="2"/>
      </tp>
      <tp t="s">
        <v>#N/A N/A</v>
        <stp/>
        <stp>BDH|7446896650700955832</stp>
        <tr r="E45" s="3"/>
      </tp>
      <tp t="s">
        <v>#N/A N/A</v>
        <stp/>
        <stp>BDH|1935094803095673622</stp>
        <tr r="J9" s="4"/>
      </tp>
      <tp t="s">
        <v>#N/A N/A</v>
        <stp/>
        <stp>BDH|4937470525256407686</stp>
        <tr r="T43" s="4"/>
      </tp>
      <tp t="s">
        <v>#N/A N/A</v>
        <stp/>
        <stp>BDH|7254056278717942519</stp>
        <tr r="U62" s="3"/>
      </tp>
      <tp t="s">
        <v>#N/A N/A</v>
        <stp/>
        <stp>BDH|7156445017935683538</stp>
        <tr r="G41" s="3"/>
      </tp>
      <tp t="s">
        <v>#N/A N/A</v>
        <stp/>
        <stp>BDH|2716028740486270206</stp>
        <tr r="F85" s="3"/>
      </tp>
      <tp t="s">
        <v>#N/A N/A</v>
        <stp/>
        <stp>BDH|7911796242721499729</stp>
        <tr r="M9" s="4"/>
      </tp>
      <tp t="s">
        <v>#N/A N/A</v>
        <stp/>
        <stp>BDH|4600182722660827505</stp>
        <tr r="I16" s="3"/>
      </tp>
      <tp t="s">
        <v>#N/A N/A</v>
        <stp/>
        <stp>BDH|3931097391891509909</stp>
        <tr r="F12" s="4"/>
      </tp>
      <tp t="s">
        <v>#N/A N/A</v>
        <stp/>
        <stp>BDH|7542552893431047872</stp>
        <tr r="H22" s="2"/>
      </tp>
      <tp t="s">
        <v>#N/A N/A</v>
        <stp/>
        <stp>BDH|1975500104281965705</stp>
        <tr r="I85" s="3"/>
      </tp>
      <tp t="s">
        <v>#N/A N/A</v>
        <stp/>
        <stp>BDH|8083118071489385575</stp>
        <tr r="I32" s="4"/>
      </tp>
      <tp t="s">
        <v>#N/A N/A</v>
        <stp/>
        <stp>BDH|1603915205438487222</stp>
        <tr r="P43" s="3"/>
      </tp>
      <tp t="s">
        <v>#N/A N/A</v>
        <stp/>
        <stp>BDH|8703891856473499483</stp>
        <tr r="F51" s="3"/>
      </tp>
      <tp t="s">
        <v>#N/A N/A</v>
        <stp/>
        <stp>BDH|1344080230643853366</stp>
        <tr r="O40" s="2"/>
      </tp>
      <tp t="s">
        <v>#N/A N/A</v>
        <stp/>
        <stp>BDH|7234326236590411571</stp>
        <tr r="P29" s="4"/>
      </tp>
      <tp t="s">
        <v>#N/A N/A</v>
        <stp/>
        <stp>BDH|9879825233366906651</stp>
        <tr r="O77" s="3"/>
      </tp>
      <tp t="s">
        <v>#N/A N/A</v>
        <stp/>
        <stp>BDH|5181792490359428099</stp>
        <tr r="U11" s="3"/>
      </tp>
      <tp t="s">
        <v>#N/A N/A</v>
        <stp/>
        <stp>BDH|8580043682442659008</stp>
        <tr r="S74" s="3"/>
      </tp>
      <tp t="s">
        <v>#N/A N/A</v>
        <stp/>
        <stp>BDH|8125171964414429932</stp>
        <tr r="J8" s="3"/>
      </tp>
      <tp t="s">
        <v>#N/A N/A</v>
        <stp/>
        <stp>BDH|1136500523975347144</stp>
        <tr r="W41" s="4"/>
      </tp>
      <tp t="s">
        <v>#N/A N/A</v>
        <stp/>
        <stp>BDH|2266059087101070957</stp>
        <tr r="O25" s="2"/>
      </tp>
      <tp t="s">
        <v>#N/A N/A</v>
        <stp/>
        <stp>BDH|34696414759124183</stp>
        <tr r="C24" s="2"/>
      </tp>
      <tp t="s">
        <v>#N/A N/A</v>
        <stp/>
        <stp>BDH|4521314981989775589</stp>
        <tr r="S35" s="2"/>
        <tr r="S47" s="2"/>
      </tp>
      <tp t="s">
        <v>#N/A N/A</v>
        <stp/>
        <stp>BDH|6249584290640709975</stp>
        <tr r="Y22" s="3"/>
      </tp>
      <tp t="s">
        <v>#N/A N/A</v>
        <stp/>
        <stp>BDH|5821610335391799210</stp>
        <tr r="Q25" s="3"/>
      </tp>
      <tp t="s">
        <v>#N/A N/A</v>
        <stp/>
        <stp>BDH|9369272175159281696</stp>
        <tr r="T34" s="3"/>
      </tp>
      <tp t="s">
        <v>#N/A N/A</v>
        <stp/>
        <stp>BDH|4709641791718016088</stp>
        <tr r="G61" s="4"/>
      </tp>
      <tp t="s">
        <v>#N/A N/A</v>
        <stp/>
        <stp>BDH|4270699668304950319</stp>
        <tr r="V51" s="3"/>
      </tp>
      <tp t="s">
        <v>#N/A N/A</v>
        <stp/>
        <stp>BDH|2541953099257476663</stp>
        <tr r="E62" s="4"/>
      </tp>
      <tp t="s">
        <v>#N/A N/A</v>
        <stp/>
        <stp>BDH|1863737295198196449</stp>
        <tr r="J24" s="2"/>
      </tp>
      <tp t="s">
        <v>#N/A N/A</v>
        <stp/>
        <stp>BDH|1549213452782528781</stp>
        <tr r="V18" s="2"/>
      </tp>
      <tp t="s">
        <v>#N/A N/A</v>
        <stp/>
        <stp>BDH|8091938155876507180</stp>
        <tr r="E70" s="2"/>
      </tp>
      <tp t="s">
        <v>#N/A N/A</v>
        <stp/>
        <stp>BDH|7861270975341397024</stp>
        <tr r="T37" s="4"/>
      </tp>
      <tp t="s">
        <v>#N/A N/A</v>
        <stp/>
        <stp>BDH|8090269274046036898</stp>
        <tr r="L44" s="4"/>
      </tp>
      <tp t="s">
        <v>#N/A N/A</v>
        <stp/>
        <stp>BDH|8219890828198921918</stp>
        <tr r="L48" s="4"/>
      </tp>
      <tp t="s">
        <v>#N/A N/A</v>
        <stp/>
        <stp>BDH|3973374771194056048</stp>
        <tr r="G43" s="2"/>
      </tp>
      <tp t="s">
        <v>#N/A N/A</v>
        <stp/>
        <stp>BDH|4588562990659956228</stp>
        <tr r="G39" s="2"/>
      </tp>
      <tp t="s">
        <v>#N/A N/A</v>
        <stp/>
        <stp>BDH|1016872097882814109</stp>
        <tr r="Y72" s="3"/>
      </tp>
      <tp t="s">
        <v>#N/A N/A</v>
        <stp/>
        <stp>BDH|1727847101343812925</stp>
        <tr r="D63" s="4"/>
      </tp>
      <tp t="s">
        <v>#N/A N/A</v>
        <stp/>
        <stp>BDH|6347791305946702409</stp>
        <tr r="H15" s="4"/>
      </tp>
      <tp t="s">
        <v>#N/A N/A</v>
        <stp/>
        <stp>BDH|3117306371674970013</stp>
        <tr r="Y61" s="4"/>
      </tp>
      <tp t="s">
        <v>#N/A N/A</v>
        <stp/>
        <stp>BDH|3355582851761225107</stp>
        <tr r="P21" s="2"/>
      </tp>
      <tp t="s">
        <v>#N/A N/A</v>
        <stp/>
        <stp>BDH|8897045290696468408</stp>
        <tr r="W16" s="2"/>
      </tp>
      <tp t="s">
        <v>#N/A N/A</v>
        <stp/>
        <stp>BDH|5753207772884882756</stp>
        <tr r="G39" s="3"/>
      </tp>
      <tp t="s">
        <v>#N/A N/A</v>
        <stp/>
        <stp>BDH|6546590816708326917</stp>
        <tr r="T21" s="3"/>
      </tp>
      <tp t="s">
        <v>#N/A N/A</v>
        <stp/>
        <stp>BDH|1113182164202510708</stp>
        <tr r="M8" s="4"/>
      </tp>
      <tp t="s">
        <v>#N/A N/A</v>
        <stp/>
        <stp>BDH|4724422060561948449</stp>
        <tr r="C42" s="4"/>
      </tp>
      <tp t="s">
        <v>#N/A N/A</v>
        <stp/>
        <stp>BDH|2623613175080892039</stp>
        <tr r="O45" s="3"/>
      </tp>
      <tp t="s">
        <v>#N/A N/A</v>
        <stp/>
        <stp>BDH|2497530829907294158</stp>
        <tr r="M65" s="2"/>
      </tp>
      <tp t="s">
        <v>#N/A N/A</v>
        <stp/>
        <stp>BDH|2584201138595571519</stp>
        <tr r="Z64" s="2"/>
      </tp>
      <tp t="s">
        <v>#N/A N/A</v>
        <stp/>
        <stp>BDH|3475640088279964785</stp>
        <tr r="L60" s="3"/>
      </tp>
      <tp t="s">
        <v>#N/A N/A</v>
        <stp/>
        <stp>BDH|2959720933234844195</stp>
        <tr r="I19" s="3"/>
      </tp>
      <tp t="s">
        <v>#N/A N/A</v>
        <stp/>
        <stp>BDH|5353032585399599790</stp>
        <tr r="T9" s="4"/>
      </tp>
      <tp t="s">
        <v>#N/A N/A</v>
        <stp/>
        <stp>BDH|8974996613467994432</stp>
        <tr r="K55" s="2"/>
      </tp>
      <tp t="s">
        <v>#N/A N/A</v>
        <stp/>
        <stp>BDH|2901078292721182949</stp>
        <tr r="K9" s="4"/>
      </tp>
      <tp t="s">
        <v>#N/A N/A</v>
        <stp/>
        <stp>BDH|2195098035316647454</stp>
        <tr r="P63" s="4"/>
      </tp>
      <tp t="s">
        <v>#N/A N/A</v>
        <stp/>
        <stp>BDH|3264794127655787058</stp>
        <tr r="H35" s="3"/>
      </tp>
      <tp t="s">
        <v>#N/A N/A</v>
        <stp/>
        <stp>BDH|6337654921170068197</stp>
        <tr r="E18" s="3"/>
      </tp>
      <tp t="s">
        <v>#N/A N/A</v>
        <stp/>
        <stp>BDH|7844218785436195839</stp>
        <tr r="I52" s="2"/>
      </tp>
      <tp t="s">
        <v>#N/A N/A</v>
        <stp/>
        <stp>BDH|1250548371016064690</stp>
        <tr r="V8" s="2"/>
      </tp>
      <tp t="s">
        <v>#N/A N/A</v>
        <stp/>
        <stp>BDH|6668591808984989417</stp>
        <tr r="W8" s="4"/>
      </tp>
      <tp t="s">
        <v>#N/A N/A</v>
        <stp/>
        <stp>BDH|7850095977175867617</stp>
        <tr r="W43" s="3"/>
      </tp>
      <tp t="s">
        <v>#N/A N/A</v>
        <stp/>
        <stp>BDH|5796475978555783004</stp>
        <tr r="F35" s="4"/>
      </tp>
      <tp t="s">
        <v>#N/A N/A</v>
        <stp/>
        <stp>BDH|9939236387085618541</stp>
        <tr r="O46" s="3"/>
      </tp>
      <tp t="s">
        <v>#N/A N/A</v>
        <stp/>
        <stp>BDH|5697151717085367387</stp>
        <tr r="H32" s="2"/>
      </tp>
      <tp t="s">
        <v>#N/A N/A</v>
        <stp/>
        <stp>BDH|2989935242639705506</stp>
        <tr r="L54" s="3"/>
      </tp>
      <tp t="s">
        <v>#N/A N/A</v>
        <stp/>
        <stp>BDH|3858459278665977630</stp>
        <tr r="R54" s="3"/>
      </tp>
      <tp t="s">
        <v>#N/A N/A</v>
        <stp/>
        <stp>BDH|2120882575516398800</stp>
        <tr r="M56" s="3"/>
      </tp>
      <tp t="s">
        <v>#N/A N/A</v>
        <stp/>
        <stp>BDH|8735355587485295587</stp>
        <tr r="P41" s="3"/>
      </tp>
      <tp t="s">
        <v>#N/A N/A</v>
        <stp/>
        <stp>BDH|5015792337864710665</stp>
        <tr r="Q41" s="2"/>
      </tp>
      <tp t="s">
        <v>#N/A N/A</v>
        <stp/>
        <stp>BDH|8905041701569311236</stp>
        <tr r="L52" s="2"/>
      </tp>
      <tp t="s">
        <v>#N/A N/A</v>
        <stp/>
        <stp>BDH|4071098039317964352</stp>
        <tr r="W35" s="2"/>
        <tr r="W47" s="2"/>
      </tp>
      <tp t="s">
        <v>#N/A N/A</v>
        <stp/>
        <stp>BDH|8290190712519266272</stp>
        <tr r="L49" s="3"/>
      </tp>
      <tp t="s">
        <v>#N/A N/A</v>
        <stp/>
        <stp>BDH|8957272750439500579</stp>
        <tr r="X16" s="2"/>
      </tp>
      <tp t="s">
        <v>#N/A N/A</v>
        <stp/>
        <stp>BDH|6499567758171204445</stp>
        <tr r="E70" s="3"/>
      </tp>
      <tp t="s">
        <v>#N/A N/A</v>
        <stp/>
        <stp>BDH|1022401505896007096</stp>
        <tr r="O49" s="4"/>
      </tp>
      <tp t="s">
        <v>#N/A N/A</v>
        <stp/>
        <stp>BDH|3683720867791743084</stp>
        <tr r="E30" s="4"/>
      </tp>
      <tp t="s">
        <v>#N/A N/A</v>
        <stp/>
        <stp>BDH|6614366221707594398</stp>
        <tr r="U49" s="4"/>
      </tp>
      <tp t="s">
        <v>#N/A N/A</v>
        <stp/>
        <stp>BDH|8714371898435362461</stp>
        <tr r="E75" s="3"/>
      </tp>
      <tp t="s">
        <v>#N/A N/A</v>
        <stp/>
        <stp>BDH|1301688707867478355</stp>
        <tr r="P37" s="4"/>
      </tp>
      <tp t="s">
        <v>#N/A N/A</v>
        <stp/>
        <stp>BDH|1447795431802499455</stp>
        <tr r="X16" s="4"/>
      </tp>
      <tp t="s">
        <v>#N/A N/A</v>
        <stp/>
        <stp>BDH|9868766921469625640</stp>
        <tr r="R46" s="4"/>
      </tp>
      <tp t="s">
        <v>#N/A N/A</v>
        <stp/>
        <stp>BDH|7114040958141432045</stp>
        <tr r="E28" s="4"/>
      </tp>
      <tp t="s">
        <v>#N/A N/A</v>
        <stp/>
        <stp>BDH|5571869292562548597</stp>
        <tr r="G59" s="4"/>
      </tp>
      <tp t="s">
        <v>#N/A N/A</v>
        <stp/>
        <stp>BDH|1988346331952637079</stp>
        <tr r="G71" s="2"/>
      </tp>
      <tp t="s">
        <v>#N/A N/A</v>
        <stp/>
        <stp>BDH|8997694087533340690</stp>
        <tr r="H56" s="2"/>
      </tp>
      <tp t="s">
        <v>#N/A N/A</v>
        <stp/>
        <stp>BDH|4947420425814189528</stp>
        <tr r="P12" s="3"/>
      </tp>
      <tp t="s">
        <v>#N/A N/A</v>
        <stp/>
        <stp>BDH|7962697571381481485</stp>
        <tr r="C69" s="3"/>
      </tp>
      <tp t="s">
        <v>#N/A N/A</v>
        <stp/>
        <stp>BDH|8816331717389282034</stp>
        <tr r="U32" s="4"/>
      </tp>
      <tp t="s">
        <v>#N/A N/A</v>
        <stp/>
        <stp>BDH|5599599331931258122</stp>
        <tr r="F25" s="3"/>
      </tp>
      <tp t="s">
        <v>#N/A N/A</v>
        <stp/>
        <stp>BDH|4783828132724612837</stp>
        <tr r="Q45" s="3"/>
      </tp>
      <tp t="s">
        <v>#N/A N/A</v>
        <stp/>
        <stp>BDH|5411216062504485619</stp>
        <tr r="G59" s="3"/>
      </tp>
      <tp t="s">
        <v>#N/A N/A</v>
        <stp/>
        <stp>BDH|1887055277756017388</stp>
        <tr r="D52" s="4"/>
      </tp>
      <tp t="s">
        <v>#N/A N/A</v>
        <stp/>
        <stp>BDH|2238225901562755144</stp>
        <tr r="W24" s="2"/>
      </tp>
      <tp t="s">
        <v>#N/A N/A</v>
        <stp/>
        <stp>BDH|2361251765666006315</stp>
        <tr r="R64" s="3"/>
      </tp>
      <tp t="s">
        <v>#N/A N/A</v>
        <stp/>
        <stp>BDH|4974602693509126195</stp>
        <tr r="X91" s="3"/>
      </tp>
      <tp t="s">
        <v>#N/A N/A</v>
        <stp/>
        <stp>BDH|9565459094013368450</stp>
        <tr r="K71" s="2"/>
      </tp>
      <tp t="s">
        <v>#N/A N/A</v>
        <stp/>
        <stp>BDH|5392561483138321371</stp>
        <tr r="J39" s="2"/>
      </tp>
      <tp t="s">
        <v>#N/A N/A</v>
        <stp/>
        <stp>BDH|2253736920076295217</stp>
        <tr r="P42" s="4"/>
      </tp>
      <tp t="s">
        <v>#N/A N/A</v>
        <stp/>
        <stp>BDH|7521618834240554171</stp>
        <tr r="W48" s="3"/>
      </tp>
      <tp t="s">
        <v>#N/A N/A</v>
        <stp/>
        <stp>BDH|5391530736958722823</stp>
        <tr r="Y10" s="4"/>
      </tp>
      <tp t="s">
        <v>#N/A N/A</v>
        <stp/>
        <stp>BDH|6036615972186475241</stp>
        <tr r="X26" s="4"/>
      </tp>
      <tp t="s">
        <v>#N/A N/A</v>
        <stp/>
        <stp>BDH|1100465131140326567</stp>
        <tr r="Q52" s="2"/>
      </tp>
      <tp t="s">
        <v>#N/A N/A</v>
        <stp/>
        <stp>BDH|5113439521392208228</stp>
        <tr r="Q9" s="4"/>
      </tp>
      <tp t="s">
        <v>#N/A N/A</v>
        <stp/>
        <stp>BDH|5234424223186602665</stp>
        <tr r="X89" s="3"/>
      </tp>
      <tp t="s">
        <v>#N/A N/A</v>
        <stp/>
        <stp>BDH|8835989643380093602</stp>
        <tr r="V72" s="2"/>
      </tp>
      <tp t="s">
        <v>#N/A N/A</v>
        <stp/>
        <stp>BDH|7644191578952238068</stp>
        <tr r="Q36" s="2"/>
      </tp>
      <tp t="s">
        <v>#N/A N/A</v>
        <stp/>
        <stp>BDH|5789624130462059165</stp>
        <tr r="Z20" s="3"/>
      </tp>
      <tp t="s">
        <v>#N/A N/A</v>
        <stp/>
        <stp>BDH|2849273335252992206</stp>
        <tr r="X92" s="3"/>
      </tp>
      <tp t="s">
        <v>#N/A N/A</v>
        <stp/>
        <stp>BDH|5242706303843631246</stp>
        <tr r="X61" s="4"/>
      </tp>
      <tp t="s">
        <v>#N/A N/A</v>
        <stp/>
        <stp>BDH|2419906094541449046</stp>
        <tr r="Z28" s="4"/>
      </tp>
      <tp t="s">
        <v>#N/A N/A</v>
        <stp/>
        <stp>BDH|1419074027124458402</stp>
        <tr r="V35" s="2"/>
        <tr r="V47" s="2"/>
      </tp>
      <tp t="s">
        <v>#N/A N/A</v>
        <stp/>
        <stp>BDH|6683738355671476643</stp>
        <tr r="Z36" s="2"/>
      </tp>
      <tp t="s">
        <v>#N/A N/A</v>
        <stp/>
        <stp>BDH|3042671876010369127</stp>
        <tr r="Y64" s="4"/>
      </tp>
      <tp t="s">
        <v>#N/A N/A</v>
        <stp/>
        <stp>BDH|5821537909262558175</stp>
        <tr r="I39" s="2"/>
      </tp>
      <tp t="s">
        <v>#N/A N/A</v>
        <stp/>
        <stp>BDH|6559265464990173167</stp>
        <tr r="L42" s="2"/>
      </tp>
      <tp t="s">
        <v>#N/A N/A</v>
        <stp/>
        <stp>BDH|8058967152850315772</stp>
        <tr r="D46" s="4"/>
      </tp>
      <tp t="s">
        <v>#N/A N/A</v>
        <stp/>
        <stp>BDH|4446448284599247266</stp>
        <tr r="W47" s="4"/>
      </tp>
      <tp t="s">
        <v>#N/A N/A</v>
        <stp/>
        <stp>BDH|9270936085698557318</stp>
        <tr r="F66" s="2"/>
      </tp>
      <tp t="s">
        <v>#N/A N/A</v>
        <stp/>
        <stp>BDH|4983853949408421317</stp>
        <tr r="W63" s="3"/>
      </tp>
      <tp t="s">
        <v>#N/A N/A</v>
        <stp/>
        <stp>BDH|1353718963633508047</stp>
        <tr r="D16" s="3"/>
      </tp>
      <tp t="s">
        <v>#N/A N/A</v>
        <stp/>
        <stp>BDH|4611748136736000542</stp>
        <tr r="P14" s="3"/>
      </tp>
      <tp t="s">
        <v>#N/A N/A</v>
        <stp/>
        <stp>BDH|1571041035628371978</stp>
        <tr r="N34" s="4"/>
      </tp>
      <tp t="s">
        <v>#N/A N/A</v>
        <stp/>
        <stp>BDH|6614795605763332185</stp>
        <tr r="I6" s="2"/>
      </tp>
      <tp t="s">
        <v>#N/A N/A</v>
        <stp/>
        <stp>BDH|2086829385876792714</stp>
        <tr r="P77" s="3"/>
      </tp>
      <tp t="s">
        <v>#N/A N/A</v>
        <stp/>
        <stp>BDH|6444564382190769860</stp>
        <tr r="I22" s="2"/>
      </tp>
      <tp t="s">
        <v>#N/A N/A</v>
        <stp/>
        <stp>BDH|1423159372112054624</stp>
        <tr r="K22" s="2"/>
      </tp>
      <tp t="s">
        <v>#N/A N/A</v>
        <stp/>
        <stp>BDH|7048812633998566762</stp>
        <tr r="M36" s="2"/>
      </tp>
      <tp t="s">
        <v>#N/A N/A</v>
        <stp/>
        <stp>BDH|8401589387206353094</stp>
        <tr r="U7" s="3"/>
      </tp>
      <tp t="s">
        <v>#N/A N/A</v>
        <stp/>
        <stp>BDH|2845158804254149496</stp>
        <tr r="J76" s="3"/>
      </tp>
      <tp t="s">
        <v>#N/A N/A</v>
        <stp/>
        <stp>BDH|3245628221081436540</stp>
        <tr r="P31" s="4"/>
      </tp>
      <tp t="s">
        <v>#N/A N/A</v>
        <stp/>
        <stp>BDH|3762655762011645106</stp>
        <tr r="Q18" s="3"/>
      </tp>
      <tp t="s">
        <v>#N/A N/A</v>
        <stp/>
        <stp>BDH|2846501557414066597</stp>
        <tr r="J28" s="2"/>
      </tp>
      <tp t="s">
        <v>#N/A N/A</v>
        <stp/>
        <stp>BDH|4098414527434509559</stp>
        <tr r="P84" s="3"/>
      </tp>
      <tp t="s">
        <v>#N/A N/A</v>
        <stp/>
        <stp>BDH|3100604637630710570</stp>
        <tr r="Y32" s="3"/>
      </tp>
      <tp t="s">
        <v>#N/A N/A</v>
        <stp/>
        <stp>BDH|1849712608404148165</stp>
        <tr r="N28" s="4"/>
      </tp>
      <tp t="s">
        <v>#N/A N/A</v>
        <stp/>
        <stp>BDH|9309701148538442193</stp>
        <tr r="D43" s="4"/>
      </tp>
      <tp t="s">
        <v>#N/A N/A</v>
        <stp/>
        <stp>BDH|4997692312902516216</stp>
        <tr r="E88" s="3"/>
      </tp>
      <tp t="s">
        <v>#N/A N/A</v>
        <stp/>
        <stp>BDH|3827224662912733698</stp>
        <tr r="P67" s="2"/>
      </tp>
      <tp t="s">
        <v>#N/A N/A</v>
        <stp/>
        <stp>BDH|9465369556189317516</stp>
        <tr r="W22" s="2"/>
      </tp>
      <tp t="s">
        <v>#N/A N/A</v>
        <stp/>
        <stp>BDH|3729055914195025409</stp>
        <tr r="L54" s="4"/>
      </tp>
      <tp t="s">
        <v>#N/A N/A</v>
        <stp/>
        <stp>BDH|4101276333523175535</stp>
        <tr r="O51" s="3"/>
      </tp>
      <tp t="s">
        <v>#N/A N/A</v>
        <stp/>
        <stp>BDH|7938028442094983473</stp>
        <tr r="S78" s="3"/>
      </tp>
      <tp t="s">
        <v>#N/A N/A</v>
        <stp/>
        <stp>BDH|3092185576482188483</stp>
        <tr r="Y37" s="2"/>
      </tp>
      <tp t="s">
        <v>#N/A N/A</v>
        <stp/>
        <stp>BDH|8752394164517861951</stp>
        <tr r="V42" s="3"/>
      </tp>
      <tp t="s">
        <v>#N/A N/A</v>
        <stp/>
        <stp>BDH|8857568968100835899</stp>
        <tr r="X54" s="4"/>
      </tp>
      <tp t="s">
        <v>#N/A N/A</v>
        <stp/>
        <stp>BDH|2131750272713683275</stp>
        <tr r="R57" s="2"/>
      </tp>
      <tp t="s">
        <v>#N/A N/A</v>
        <stp/>
        <stp>BDH|6710434882760532948</stp>
        <tr r="F92" s="3"/>
      </tp>
      <tp t="s">
        <v>#N/A N/A</v>
        <stp/>
        <stp>BDH|2139330409036420489</stp>
        <tr r="K26" s="3"/>
      </tp>
      <tp t="s">
        <v>#N/A N/A</v>
        <stp/>
        <stp>BDH|9081595539535355946</stp>
        <tr r="K10" s="4"/>
      </tp>
      <tp t="s">
        <v>#N/A N/A</v>
        <stp/>
        <stp>BDH|5296406254647721066</stp>
        <tr r="J43" s="3"/>
      </tp>
      <tp t="s">
        <v>#N/A N/A</v>
        <stp/>
        <stp>BDH|2373348550440235724</stp>
        <tr r="I55" s="3"/>
      </tp>
      <tp t="s">
        <v>#N/A N/A</v>
        <stp/>
        <stp>BDH|9987161239251810996</stp>
        <tr r="O46" s="4"/>
      </tp>
      <tp t="s">
        <v>#N/A N/A</v>
        <stp/>
        <stp>BDH|4511732008381899117</stp>
        <tr r="V21" s="3"/>
      </tp>
      <tp t="s">
        <v>#N/A N/A</v>
        <stp/>
        <stp>BDH|2676323303320472270</stp>
        <tr r="L7" s="2"/>
      </tp>
      <tp t="s">
        <v>#N/A N/A</v>
        <stp/>
        <stp>BDH|5063101504350636767</stp>
        <tr r="P16" s="2"/>
      </tp>
      <tp t="s">
        <v>#N/A N/A</v>
        <stp/>
        <stp>BDH|4115059067019126868</stp>
        <tr r="G69" s="3"/>
      </tp>
      <tp t="s">
        <v>#N/A N/A</v>
        <stp/>
        <stp>BDH|2233771440290469253</stp>
        <tr r="V26" s="4"/>
      </tp>
      <tp t="s">
        <v>#N/A N/A</v>
        <stp/>
        <stp>BDH|3636409104522352650</stp>
        <tr r="G7" s="3"/>
      </tp>
      <tp t="s">
        <v>#N/A N/A</v>
        <stp/>
        <stp>BDH|7738330394987056943</stp>
        <tr r="I46" s="3"/>
      </tp>
      <tp t="s">
        <v>#N/A N/A</v>
        <stp/>
        <stp>BDH|9784381898631309103</stp>
        <tr r="G34" s="4"/>
      </tp>
      <tp t="s">
        <v>#N/A N/A</v>
        <stp/>
        <stp>BDH|2473542733160591722</stp>
        <tr r="U46" s="4"/>
      </tp>
      <tp t="s">
        <v>#N/A N/A</v>
        <stp/>
        <stp>BDH|1735538397578745604</stp>
        <tr r="F33" s="2"/>
      </tp>
      <tp t="s">
        <v>#N/A N/A</v>
        <stp/>
        <stp>BDH|7896766925578864972</stp>
        <tr r="Y59" s="3"/>
      </tp>
      <tp t="s">
        <v>#N/A N/A</v>
        <stp/>
        <stp>BDH|1670517235657321344</stp>
        <tr r="U17" s="3"/>
      </tp>
      <tp t="s">
        <v>#N/A N/A</v>
        <stp/>
        <stp>BDH|3852463842631182188</stp>
        <tr r="E22" s="2"/>
      </tp>
      <tp t="s">
        <v>#N/A N/A</v>
        <stp/>
        <stp>BDH|3560725131543121727</stp>
        <tr r="S61" s="4"/>
      </tp>
      <tp t="s">
        <v>#N/A N/A</v>
        <stp/>
        <stp>BDH|7543679372844679131</stp>
        <tr r="G23" s="4"/>
      </tp>
      <tp t="s">
        <v>#N/A N/A</v>
        <stp/>
        <stp>BDH|9301723807918584560</stp>
        <tr r="V48" s="3"/>
      </tp>
      <tp t="s">
        <v>#N/A N/A</v>
        <stp/>
        <stp>BDH|7843896592704433122</stp>
        <tr r="M50" s="3"/>
      </tp>
      <tp t="s">
        <v>#N/A N/A</v>
        <stp/>
        <stp>BDH|1933106799208134243</stp>
        <tr r="U24" s="2"/>
      </tp>
      <tp t="s">
        <v>#N/A N/A</v>
        <stp/>
        <stp>BDH|4340813526194382928</stp>
        <tr r="E65" s="2"/>
      </tp>
      <tp t="s">
        <v>#N/A N/A</v>
        <stp/>
        <stp>BDH|6262379376222605304</stp>
        <tr r="I10" s="4"/>
      </tp>
      <tp t="s">
        <v>#N/A N/A</v>
        <stp/>
        <stp>BDH|3050398539503723322</stp>
        <tr r="E40" s="3"/>
      </tp>
      <tp t="s">
        <v>#N/A N/A</v>
        <stp/>
        <stp>BDH|3762616060962712244</stp>
        <tr r="K75" s="3"/>
      </tp>
      <tp t="s">
        <v>#N/A N/A</v>
        <stp/>
        <stp>BDH|309011455982040294</stp>
        <tr r="X24" s="4"/>
      </tp>
      <tp t="s">
        <v>#N/A N/A</v>
        <stp/>
        <stp>BDH|177487557973856780</stp>
        <tr r="R20" s="3"/>
      </tp>
      <tp t="s">
        <v>#N/A N/A</v>
        <stp/>
        <stp>BDH|737613468232704770</stp>
        <tr r="F69" s="2"/>
      </tp>
      <tp t="s">
        <v>#N/A N/A</v>
        <stp/>
        <stp>BDH|867633895383027902</stp>
        <tr r="Q61" s="2"/>
      </tp>
      <tp t="s">
        <v>#N/A N/A</v>
        <stp/>
        <stp>BDH|869005924191635657</stp>
        <tr r="W9" s="2"/>
      </tp>
      <tp t="s">
        <v>#N/A N/A</v>
        <stp/>
        <stp>BDH|687747438160711155</stp>
        <tr r="G44" s="4"/>
      </tp>
      <tp t="s">
        <v>#N/A N/A</v>
        <stp/>
        <stp>BDH|981409943237698246</stp>
        <tr r="D30" s="3"/>
      </tp>
      <tp t="s">
        <v>#N/A N/A</v>
        <stp/>
        <stp>BDH|415451059487309324</stp>
        <tr r="O28" s="3"/>
      </tp>
      <tp t="s">
        <v>#N/A N/A</v>
        <stp/>
        <stp>BDH|234116508670363423</stp>
        <tr r="P45" s="2"/>
      </tp>
      <tp t="s">
        <v>#N/A N/A</v>
        <stp/>
        <stp>BDH|298366225992662610</stp>
        <tr r="S36" s="2"/>
      </tp>
      <tp t="s">
        <v>#N/A N/A</v>
        <stp/>
        <stp>BDH|299752500273550125</stp>
        <tr r="Y12" s="4"/>
      </tp>
      <tp t="s">
        <v>#N/A N/A</v>
        <stp/>
        <stp>BDH|243923102399235509</stp>
        <tr r="C31" s="2"/>
      </tp>
      <tp t="s">
        <v>#N/A N/A</v>
        <stp/>
        <stp>BDH|450892794871185584</stp>
        <tr r="V69" s="2"/>
      </tp>
      <tp t="s">
        <v>#N/A N/A</v>
        <stp/>
        <stp>BDH|579581121652547094</stp>
        <tr r="R48" s="4"/>
      </tp>
      <tp t="s">
        <v>#N/A N/A</v>
        <stp/>
        <stp>BDH|408389243382792096</stp>
        <tr r="P49" s="4"/>
      </tp>
      <tp t="s">
        <v>#N/A N/A</v>
        <stp/>
        <stp>BDH|141759025723009323</stp>
        <tr r="G23" s="3"/>
      </tp>
      <tp t="s">
        <v>#N/A N/A</v>
        <stp/>
        <stp>BDH|992253886318786613</stp>
        <tr r="L66" s="3"/>
      </tp>
      <tp t="s">
        <v>#N/A N/A</v>
        <stp/>
        <stp>BDH|483092714742113749</stp>
        <tr r="U62" s="2"/>
      </tp>
      <tp t="s">
        <v>#N/A N/A</v>
        <stp/>
        <stp>BDH|397716828727455618</stp>
        <tr r="U37" s="2"/>
      </tp>
      <tp t="s">
        <v>#N/A N/A</v>
        <stp/>
        <stp>BDH|233097031881611656</stp>
        <tr r="D15" s="2"/>
      </tp>
      <tp t="s">
        <v>#N/A N/A</v>
        <stp/>
        <stp>BDH|229770978320669425</stp>
        <tr r="E37" s="4"/>
      </tp>
      <tp t="s">
        <v>#N/A N/A</v>
        <stp/>
        <stp>BDH|814075223055642305</stp>
        <tr r="V17" s="4"/>
      </tp>
      <tp t="s">
        <v>#N/A N/A</v>
        <stp/>
        <stp>BDH|298362454247134555</stp>
        <tr r="F93" s="3"/>
      </tp>
      <tp t="s">
        <v>#N/A N/A</v>
        <stp/>
        <stp>BDH|970077758857017633</stp>
        <tr r="O35" s="2"/>
        <tr r="O47" s="2"/>
      </tp>
      <tp t="s">
        <v>#N/A N/A</v>
        <stp/>
        <stp>BDH|310458908798886839</stp>
        <tr r="J29" s="2"/>
      </tp>
      <tp t="s">
        <v>#N/A N/A</v>
        <stp/>
        <stp>BDH|887296562110359064</stp>
        <tr r="S34" s="3"/>
      </tp>
      <tp t="s">
        <v>#N/A N/A</v>
        <stp/>
        <stp>BDH|286127646423609266</stp>
        <tr r="P70" s="3"/>
      </tp>
      <tp t="s">
        <v>#N/A N/A</v>
        <stp/>
        <stp>BDH|212711706704527766</stp>
        <tr r="O62" s="2"/>
      </tp>
      <tp t="s">
        <v>#N/A N/A</v>
        <stp/>
        <stp>BDH|390848397512579722</stp>
        <tr r="W89" s="3"/>
      </tp>
      <tp t="s">
        <v>#N/A N/A</v>
        <stp/>
        <stp>BDH|263506140626480367</stp>
        <tr r="S44" s="3"/>
      </tp>
      <tp t="s">
        <v>#N/A N/A</v>
        <stp/>
        <stp>BDH|680516761513671401</stp>
        <tr r="C26" s="2"/>
      </tp>
      <tp t="s">
        <v>#N/A N/A</v>
        <stp/>
        <stp>BDH|528389537484311084</stp>
        <tr r="N32" s="2"/>
      </tp>
      <tp t="s">
        <v>#N/A N/A</v>
        <stp/>
        <stp>BDH|202850740551149942</stp>
        <tr r="V31" s="3"/>
      </tp>
      <tp t="s">
        <v>#N/A N/A</v>
        <stp/>
        <stp>BDH|117173475691096319</stp>
        <tr r="U62" s="4"/>
      </tp>
      <tp t="s">
        <v>#N/A N/A</v>
        <stp/>
        <stp>BDH|702522103300509101</stp>
        <tr r="J84" s="3"/>
      </tp>
      <tp t="s">
        <v>#N/A N/A</v>
        <stp/>
        <stp>BDH|657152398297336869</stp>
        <tr r="T89" s="3"/>
      </tp>
      <tp t="s">
        <v>#N/A N/A</v>
        <stp/>
        <stp>BDH|806069370973834323</stp>
        <tr r="J57" s="3"/>
      </tp>
      <tp t="s">
        <v>#N/A N/A</v>
        <stp/>
        <stp>BDH|547634662606298130</stp>
        <tr r="J6" s="2"/>
      </tp>
      <tp t="s">
        <v>#N/A N/A</v>
        <stp/>
        <stp>BDH|775462377346334253</stp>
        <tr r="P27" s="4"/>
      </tp>
      <tp t="s">
        <v>#N/A N/A</v>
        <stp/>
        <stp>BDH|452756652654733085</stp>
        <tr r="P35" s="3"/>
      </tp>
      <tp t="s">
        <v>#N/A N/A</v>
        <stp/>
        <stp>BDH|232830314986865918</stp>
        <tr r="X40" s="2"/>
      </tp>
      <tp t="s">
        <v>#N/A N/A</v>
        <stp/>
        <stp>BDH|527533029239886897</stp>
        <tr r="X64" s="2"/>
      </tp>
      <tp t="s">
        <v>#N/A N/A</v>
        <stp/>
        <stp>BDH|336930399685673369</stp>
        <tr r="N71" s="2"/>
      </tp>
      <tp t="s">
        <v>#N/A N/A</v>
        <stp/>
        <stp>BDH|823952799371932763</stp>
        <tr r="E61" s="2"/>
      </tp>
      <tp t="s">
        <v>#N/A N/A</v>
        <stp/>
        <stp>BDH|450769849924406146</stp>
        <tr r="L35" s="2"/>
        <tr r="L47" s="2"/>
      </tp>
      <tp t="s">
        <v>#N/A N/A</v>
        <stp/>
        <stp>BDH|636274130152675539</stp>
        <tr r="I35" s="3"/>
      </tp>
      <tp t="s">
        <v>#N/A N/A</v>
        <stp/>
        <stp>BDH|828305671887929550</stp>
        <tr r="Q39" s="3"/>
      </tp>
      <tp t="s">
        <v>#N/A N/A</v>
        <stp/>
        <stp>BDH|170643276186578102</stp>
        <tr r="C60" s="3"/>
      </tp>
      <tp t="s">
        <v>#N/A N/A</v>
        <stp/>
        <stp>BDH|742838067699662120</stp>
        <tr r="E40" s="2"/>
      </tp>
      <tp t="s">
        <v>#N/A N/A</v>
        <stp/>
        <stp>BDH|390328389978898501</stp>
        <tr r="P18" s="4"/>
      </tp>
      <tp t="s">
        <v>#N/A N/A</v>
        <stp/>
        <stp>BDH|372564263855485025</stp>
        <tr r="F18" s="3"/>
      </tp>
      <tp t="s">
        <v>#N/A N/A</v>
        <stp/>
        <stp>BDH|175642662300164195</stp>
        <tr r="E36" s="4"/>
      </tp>
      <tp t="s">
        <v>#N/A N/A</v>
        <stp/>
        <stp>BDH|263275670407914344</stp>
        <tr r="E58" s="3"/>
      </tp>
      <tp t="s">
        <v>#N/A N/A</v>
        <stp/>
        <stp>BDH|903779457826641575</stp>
        <tr r="L9" s="3"/>
      </tp>
      <tp t="s">
        <v>#N/A N/A</v>
        <stp/>
        <stp>BDH|392078070410651675</stp>
        <tr r="K27" s="4"/>
      </tp>
      <tp t="s">
        <v>#N/A N/A</v>
        <stp/>
        <stp>BDH|275524012584155158</stp>
        <tr r="W45" s="3"/>
      </tp>
      <tp t="s">
        <v>#N/A N/A</v>
        <stp/>
        <stp>BDH|804800148295268842</stp>
        <tr r="D66" s="2"/>
      </tp>
      <tp t="s">
        <v>#N/A N/A</v>
        <stp/>
        <stp>BDH|942747427252585682</stp>
        <tr r="W23" s="4"/>
      </tp>
      <tp t="s">
        <v>#N/A N/A</v>
        <stp/>
        <stp>BDH|392034714904566460</stp>
        <tr r="X50" s="4"/>
      </tp>
      <tp t="s">
        <v>#N/A N/A</v>
        <stp/>
        <stp>BDH|516688624662779798</stp>
        <tr r="P41" s="2"/>
      </tp>
      <tp t="s">
        <v>#N/A N/A</v>
        <stp/>
        <stp>BDH|284987888389087952</stp>
        <tr r="M24" s="4"/>
      </tp>
      <tp t="s">
        <v>#N/A N/A</v>
        <stp/>
        <stp>BDH|526220517183015103</stp>
        <tr r="P64" s="3"/>
      </tp>
      <tp t="s">
        <v>#N/A N/A</v>
        <stp/>
        <stp>BDH|935936248859585572</stp>
        <tr r="D24" s="2"/>
      </tp>
      <tp t="s">
        <v>#N/A N/A</v>
        <stp/>
        <stp>BDH|459416546439327801</stp>
        <tr r="W75" s="3"/>
      </tp>
      <tp t="s">
        <v>#N/A N/A</v>
        <stp/>
        <stp>BDH|176619816202731404</stp>
        <tr r="H69" s="2"/>
      </tp>
      <tp t="s">
        <v>#N/A N/A</v>
        <stp/>
        <stp>BDH|907496743383177230</stp>
        <tr r="Z60" s="4"/>
      </tp>
      <tp t="s">
        <v>#N/A N/A</v>
        <stp/>
        <stp>BDH|748622997928724649</stp>
        <tr r="Z46" s="2"/>
      </tp>
      <tp t="s">
        <v>#N/A N/A</v>
        <stp/>
        <stp>BDH|916606438422233615</stp>
        <tr r="M64" s="3"/>
      </tp>
      <tp t="s">
        <v>#N/A N/A</v>
        <stp/>
        <stp>BDH|693247074913342694</stp>
        <tr r="T21" s="2"/>
      </tp>
      <tp t="s">
        <v>#N/A N/A</v>
        <stp/>
        <stp>BDH|798366063144477182</stp>
        <tr r="R63" s="2"/>
      </tp>
      <tp t="s">
        <v>#N/A N/A</v>
        <stp/>
        <stp>BDH|250203761832590689</stp>
        <tr r="N60" s="3"/>
      </tp>
      <tp t="s">
        <v>#N/A N/A</v>
        <stp/>
        <stp>BDH|917781453401896351</stp>
        <tr r="K12" s="2"/>
      </tp>
      <tp t="s">
        <v>#N/A N/A</v>
        <stp/>
        <stp>BDH|728412311617891209</stp>
        <tr r="F28" s="2"/>
      </tp>
      <tp t="s">
        <v>#N/A N/A</v>
        <stp/>
        <stp>BDH|965669201787126179</stp>
        <tr r="X10" s="3"/>
      </tp>
      <tp t="s">
        <v>#N/A N/A</v>
        <stp/>
        <stp>BDH|378013836412525185</stp>
        <tr r="X72" s="2"/>
      </tp>
      <tp t="s">
        <v>#N/A N/A</v>
        <stp/>
        <stp>BDH|798721181486843976</stp>
        <tr r="K36" s="2"/>
      </tp>
      <tp t="s">
        <v>#N/A N/A</v>
        <stp/>
        <stp>BDH|560773349864428742</stp>
        <tr r="E54" s="2"/>
      </tp>
      <tp t="s">
        <v>#N/A N/A</v>
        <stp/>
        <stp>BDH|327737431957004350</stp>
        <tr r="S18" s="2"/>
      </tp>
      <tp t="s">
        <v>#N/A N/A</v>
        <stp/>
        <stp>BDH|481236746946690014</stp>
        <tr r="M89" s="3"/>
      </tp>
      <tp t="s">
        <v>#N/A N/A</v>
        <stp/>
        <stp>BDH|817717888049535625</stp>
        <tr r="O26" s="3"/>
      </tp>
      <tp t="s">
        <v>#N/A N/A</v>
        <stp/>
        <stp>BDH|332045413295114431</stp>
        <tr r="D26" s="3"/>
      </tp>
      <tp t="s">
        <v>#N/A N/A</v>
        <stp/>
        <stp>BDH|162154992711391927</stp>
        <tr r="J9" s="2"/>
      </tp>
      <tp t="s">
        <v>#N/A N/A</v>
        <stp/>
        <stp>BDH|615154597809405179</stp>
        <tr r="F27" s="2"/>
      </tp>
      <tp t="s">
        <v>#N/A N/A</v>
        <stp/>
        <stp>BDH|836191536410586237</stp>
        <tr r="J28" s="4"/>
      </tp>
      <tp t="s">
        <v>#N/A N/A</v>
        <stp/>
        <stp>BDH|489080479597057070</stp>
        <tr r="E13" s="4"/>
      </tp>
      <tp t="s">
        <v>#N/A N/A</v>
        <stp/>
        <stp>BDH|804225424897959757</stp>
        <tr r="E60" s="4"/>
      </tp>
      <tp t="s">
        <v>#N/A N/A</v>
        <stp/>
        <stp>BDH|780170460420451485</stp>
        <tr r="C10" s="3"/>
      </tp>
      <tp t="s">
        <v>#N/A N/A</v>
        <stp/>
        <stp>BDH|235412158674465634</stp>
        <tr r="S60" s="4"/>
      </tp>
      <tp t="s">
        <v>#N/A N/A</v>
        <stp/>
        <stp>BDH|147582770960214154</stp>
        <tr r="C14" s="2"/>
      </tp>
      <tp t="s">
        <v>#N/A N/A</v>
        <stp/>
        <stp>BDH|691494531064056061</stp>
        <tr r="L32" s="2"/>
      </tp>
      <tp t="s">
        <v>#N/A N/A</v>
        <stp/>
        <stp>BDH|689369379666224138</stp>
        <tr r="W39" s="2"/>
      </tp>
      <tp t="s">
        <v>#N/A N/A</v>
        <stp/>
        <stp>BDH|236012828565611447</stp>
        <tr r="Y15" s="2"/>
      </tp>
      <tp t="s">
        <v>#N/A N/A</v>
        <stp/>
        <stp>BDH|973429721690224519</stp>
        <tr r="L50" s="3"/>
      </tp>
      <tp t="s">
        <v>#N/A N/A</v>
        <stp/>
        <stp>BDH|768700116832900726</stp>
        <tr r="L35" s="4"/>
      </tp>
      <tp t="s">
        <v>#N/A N/A</v>
        <stp/>
        <stp>BDH|671852085667839448</stp>
        <tr r="R19" s="2"/>
      </tp>
      <tp t="s">
        <v>#N/A N/A</v>
        <stp/>
        <stp>BDH|325662707910944506</stp>
        <tr r="U63" s="3"/>
      </tp>
      <tp t="s">
        <v>#N/A N/A</v>
        <stp/>
        <stp>BDH|237518649932755061</stp>
        <tr r="K83" s="3"/>
      </tp>
      <tp t="s">
        <v>#N/A N/A</v>
        <stp/>
        <stp>BDH|934685184538479558</stp>
        <tr r="G62" s="4"/>
      </tp>
      <tp t="s">
        <v>#N/A N/A</v>
        <stp/>
        <stp>BDH|794742493045514805</stp>
        <tr r="U48" s="3"/>
      </tp>
      <tp t="s">
        <v>#N/A N/A</v>
        <stp/>
        <stp>BDH|434910921229547147</stp>
        <tr r="W70" s="3"/>
      </tp>
      <tp t="s">
        <v>#N/A N/A</v>
        <stp/>
        <stp>BDH|216008409280499395</stp>
        <tr r="C23" s="2"/>
      </tp>
      <tp t="s">
        <v>#N/A N/A</v>
        <stp/>
        <stp>BDH|938459069178380949</stp>
        <tr r="U20" s="3"/>
      </tp>
      <tp t="s">
        <v>#N/A N/A</v>
        <stp/>
        <stp>BDH|729833683276207571</stp>
        <tr r="R78" s="3"/>
      </tp>
      <tp t="s">
        <v>#N/A N/A</v>
        <stp/>
        <stp>BDH|718994938180439900</stp>
        <tr r="R15" s="3"/>
      </tp>
      <tp t="s">
        <v>#N/A N/A</v>
        <stp/>
        <stp>BDH|110833388875977618</stp>
        <tr r="I18" s="2"/>
      </tp>
      <tp t="s">
        <v>#N/A N/A</v>
        <stp/>
        <stp>BDH|952304152806443231</stp>
        <tr r="K10" s="3"/>
      </tp>
      <tp t="s">
        <v>#N/A N/A</v>
        <stp/>
        <stp>BDH|286391608298607981</stp>
        <tr r="H68" s="3"/>
      </tp>
      <tp t="s">
        <v>#N/A N/A</v>
        <stp/>
        <stp>BDH|225950083263847013</stp>
        <tr r="R50" s="3"/>
      </tp>
      <tp t="s">
        <v>#N/A N/A</v>
        <stp/>
        <stp>BDH|848156002664041718</stp>
        <tr r="Q69" s="2"/>
      </tp>
      <tp t="s">
        <v>#N/A N/A</v>
        <stp/>
        <stp>BDH|338766944623657293</stp>
        <tr r="G27" s="3"/>
      </tp>
      <tp t="s">
        <v>#N/A N/A</v>
        <stp/>
        <stp>BDH|698226038984187723</stp>
        <tr r="K41" s="4"/>
      </tp>
      <tp t="s">
        <v>#N/A N/A</v>
        <stp/>
        <stp>BDH|423073214484750789</stp>
        <tr r="C92" s="3"/>
      </tp>
      <tp t="s">
        <v>#N/A N/A</v>
        <stp/>
        <stp>BDH|918544905543237421</stp>
        <tr r="O45" s="4"/>
      </tp>
      <tp t="s">
        <v>#N/A N/A</v>
        <stp/>
        <stp>BDH|966065635312241315</stp>
        <tr r="H8" s="4"/>
      </tp>
      <tp t="s">
        <v>#N/A N/A</v>
        <stp/>
        <stp>BDH|879120323315258427</stp>
        <tr r="P13" s="3"/>
      </tp>
      <tp t="s">
        <v>#N/A N/A</v>
        <stp/>
        <stp>BDH|585540680168377784</stp>
        <tr r="P40" s="3"/>
      </tp>
      <tp t="s">
        <v>#N/A N/A</v>
        <stp/>
        <stp>BDH|976300138243800133</stp>
        <tr r="G65" s="2"/>
      </tp>
      <tp t="s">
        <v>#N/A N/A</v>
        <stp/>
        <stp>BDH|422154061133897629</stp>
        <tr r="T83" s="3"/>
      </tp>
      <tp t="s">
        <v>#N/A N/A</v>
        <stp/>
        <stp>BDH|582933472074502848</stp>
        <tr r="F7" s="3"/>
      </tp>
      <tp t="s">
        <v>#N/A N/A</v>
        <stp/>
        <stp>BDH|861026244640036680</stp>
        <tr r="H42" s="3"/>
      </tp>
      <tp t="s">
        <v>#N/A N/A</v>
        <stp/>
        <stp>BDH|581148616287494541</stp>
        <tr r="M47" s="4"/>
      </tp>
      <tp t="s">
        <v>#N/A N/A</v>
        <stp/>
        <stp>BDH|242439427812238638</stp>
        <tr r="C9" s="2"/>
      </tp>
      <tp t="s">
        <v>#N/A N/A</v>
        <stp/>
        <stp>BDH|936856288371694334</stp>
        <tr r="V32" s="4"/>
      </tp>
      <tp t="s">
        <v>#N/A N/A</v>
        <stp/>
        <stp>BDH|360765854945469545</stp>
        <tr r="X58" s="4"/>
      </tp>
      <tp t="s">
        <v>#N/A N/A</v>
        <stp/>
        <stp>BDH|224524319381053780</stp>
        <tr r="Z69" s="3"/>
      </tp>
      <tp t="s">
        <v>#N/A N/A</v>
        <stp/>
        <stp>BDH|358001039613308283</stp>
        <tr r="K62" s="4"/>
      </tp>
      <tp t="s">
        <v>#N/A N/A</v>
        <stp/>
        <stp>BDH|453318880541627810</stp>
        <tr r="X83" s="3"/>
      </tp>
      <tp t="s">
        <v>#N/A N/A</v>
        <stp/>
        <stp>BDH|128948077478528453</stp>
        <tr r="Z13" s="3"/>
      </tp>
      <tp t="s">
        <v>#N/A N/A</v>
        <stp/>
        <stp>BDH|353135728746343794</stp>
        <tr r="Z48" s="4"/>
      </tp>
      <tp t="s">
        <v>#N/A N/A</v>
        <stp/>
        <stp>BDH|225167448018071006</stp>
        <tr r="U34" s="3"/>
      </tp>
      <tp t="s">
        <v>#N/A N/A</v>
        <stp/>
        <stp>BDH|807420465149180636</stp>
        <tr r="U36" s="4"/>
      </tp>
      <tp t="s">
        <v>#N/A N/A</v>
        <stp/>
        <stp>BDH|331386853369617234</stp>
        <tr r="K78" s="3"/>
      </tp>
      <tp t="s">
        <v>#N/A N/A</v>
        <stp/>
        <stp>BDH|651195282502166621</stp>
        <tr r="H86" s="3"/>
      </tp>
      <tp t="s">
        <v>#N/A N/A</v>
        <stp/>
        <stp>BDH|332105117465839823</stp>
        <tr r="X44" s="3"/>
      </tp>
      <tp t="s">
        <v>#N/A N/A</v>
        <stp/>
        <stp>BDH|509874663437867424</stp>
        <tr r="N60" s="4"/>
      </tp>
      <tp t="s">
        <v>#N/A N/A</v>
        <stp/>
        <stp>BDH|504665480305255652</stp>
        <tr r="C78" s="3"/>
      </tp>
      <tp t="s">
        <v>#N/A N/A</v>
        <stp/>
        <stp>BDH|485557356278915586</stp>
        <tr r="X63" s="2"/>
      </tp>
      <tp t="s">
        <v>#N/A N/A</v>
        <stp/>
        <stp>BDH|318386720059525590</stp>
        <tr r="L73" s="3"/>
      </tp>
      <tp t="s">
        <v>#N/A N/A</v>
        <stp/>
        <stp>BDH|588403161438062740</stp>
        <tr r="C9" s="3"/>
      </tp>
      <tp t="s">
        <v>#N/A N/A</v>
        <stp/>
        <stp>BDH|434741749377192989</stp>
        <tr r="D74" s="3"/>
      </tp>
      <tp t="s">
        <v>#N/A N/A</v>
        <stp/>
        <stp>BDH|372866613344774012</stp>
        <tr r="T50" s="4"/>
      </tp>
      <tp t="s">
        <v>#N/A N/A</v>
        <stp/>
        <stp>BDH|273563524893526892</stp>
        <tr r="P40" s="4"/>
      </tp>
      <tp t="s">
        <v>#N/A N/A</v>
        <stp/>
        <stp>BDH|857071363268866285</stp>
        <tr r="S82" s="3"/>
      </tp>
      <tp t="s">
        <v>#N/A N/A</v>
        <stp/>
        <stp>BDH|562816382439960547</stp>
        <tr r="C61" s="3"/>
      </tp>
      <tp t="s">
        <v>#N/A N/A</v>
        <stp/>
        <stp>BDH|500330824828751507</stp>
        <tr r="Y20" s="3"/>
      </tp>
      <tp t="s">
        <v>#N/A N/A</v>
        <stp/>
        <stp>BDH|176408476397587874</stp>
        <tr r="W7" s="4"/>
      </tp>
      <tp t="s">
        <v>#N/A N/A</v>
        <stp/>
        <stp>BDH|726517136619239339</stp>
        <tr r="Z77" s="3"/>
      </tp>
      <tp t="s">
        <v>#N/A N/A</v>
        <stp/>
        <stp>BDH|578971268854152797</stp>
        <tr r="U39" s="2"/>
      </tp>
      <tp t="s">
        <v>#N/A N/A</v>
        <stp/>
        <stp>BDH|651299084142018499</stp>
        <tr r="O34" s="2"/>
      </tp>
      <tp t="s">
        <v>#N/A N/A</v>
        <stp/>
        <stp>BDH|336747075339668576</stp>
        <tr r="J52" s="3"/>
      </tp>
      <tp t="s">
        <v>#N/A N/A</v>
        <stp/>
        <stp>BDH|806685264747810813</stp>
        <tr r="L9" s="4"/>
      </tp>
      <tp t="s">
        <v>#N/A N/A</v>
        <stp/>
        <stp>BDH|303607992291421115</stp>
        <tr r="K17" s="3"/>
      </tp>
      <tp t="s">
        <v>#N/A N/A</v>
        <stp/>
        <stp>BDH|219923090117598800</stp>
        <tr r="L68" s="3"/>
      </tp>
      <tp t="s">
        <v>#N/A N/A</v>
        <stp/>
        <stp>BDH|644785124863603996</stp>
        <tr r="D31" s="3"/>
      </tp>
      <tp t="s">
        <v>#N/A N/A</v>
        <stp/>
        <stp>BDH|930178119426062913</stp>
        <tr r="H13" s="3"/>
      </tp>
      <tp t="s">
        <v>#N/A N/A</v>
        <stp/>
        <stp>BDH|847869406520703790</stp>
        <tr r="Z90" s="3"/>
      </tp>
      <tp t="s">
        <v>#N/A N/A</v>
        <stp/>
        <stp>BDH|908727238129616241</stp>
        <tr r="U23" s="4"/>
      </tp>
      <tp t="s">
        <v>#N/A N/A</v>
        <stp/>
        <stp>BDH|708598097281250299</stp>
        <tr r="U26" s="2"/>
      </tp>
      <tp t="s">
        <v>#N/A N/A</v>
        <stp/>
        <stp>BDH|939669647884037848</stp>
        <tr r="P15" s="2"/>
      </tp>
      <tp t="s">
        <v>#N/A N/A</v>
        <stp/>
        <stp>BDH|124070398583381433</stp>
        <tr r="I59" s="4"/>
      </tp>
      <tp t="s">
        <v>#N/A N/A</v>
        <stp/>
        <stp>BDH|916780860397879823</stp>
        <tr r="X21" s="2"/>
      </tp>
      <tp t="s">
        <v>#N/A N/A</v>
        <stp/>
        <stp>BDH|738411302143936964</stp>
        <tr r="F63" s="4"/>
      </tp>
      <tp t="s">
        <v>#N/A N/A</v>
        <stp/>
        <stp>BDH|427326186714092147</stp>
        <tr r="Y83" s="3"/>
      </tp>
      <tp t="s">
        <v>#N/A N/A</v>
        <stp/>
        <stp>BDH|365852716805487201</stp>
        <tr r="Q53" s="3"/>
      </tp>
      <tp t="s">
        <v>#N/A N/A</v>
        <stp/>
        <stp>BDH|391906037633085704</stp>
        <tr r="Q22" s="4"/>
      </tp>
      <tp t="s">
        <v>#N/A N/A</v>
        <stp/>
        <stp>BDH|361362191272874693</stp>
        <tr r="X11" s="2"/>
      </tp>
      <tp t="s">
        <v>#N/A N/A</v>
        <stp/>
        <stp>BDH|363215879392802942</stp>
        <tr r="Y37" s="4"/>
      </tp>
      <tp t="s">
        <v>#N/A N/A</v>
        <stp/>
        <stp>BDH|421722673438494616</stp>
        <tr r="F47" s="3"/>
      </tp>
      <tp t="s">
        <v>#N/A N/A</v>
        <stp/>
        <stp>BDH|280837665859280977</stp>
        <tr r="P82" s="3"/>
      </tp>
      <tp t="s">
        <v>#N/A N/A</v>
        <stp/>
        <stp>BDH|582236312498968207</stp>
        <tr r="L29" s="3"/>
      </tp>
      <tp t="s">
        <v>#N/A N/A</v>
        <stp/>
        <stp>BDH|506747684417089183</stp>
        <tr r="W54" s="4"/>
      </tp>
      <tp t="s">
        <v>#N/A N/A</v>
        <stp/>
        <stp>BDH|682879266866871127</stp>
        <tr r="R47" s="4"/>
      </tp>
      <tp t="s">
        <v>#N/A N/A</v>
        <stp/>
        <stp>BDH|426166031542894964</stp>
        <tr r="E34" s="4"/>
      </tp>
      <tp t="s">
        <v>#N/A N/A</v>
        <stp/>
        <stp>BDH|344786180003682530</stp>
        <tr r="W13" s="2"/>
      </tp>
      <tp t="s">
        <v>#N/A N/A</v>
        <stp/>
        <stp>BDH|773999013896769721</stp>
        <tr r="W41" s="2"/>
      </tp>
      <tp t="s">
        <v>#N/A N/A</v>
        <stp/>
        <stp>BDH|413401353161816949</stp>
        <tr r="Y43" s="3"/>
      </tp>
      <tp t="s">
        <v>#N/A N/A</v>
        <stp/>
        <stp>BDH|939333293294198735</stp>
        <tr r="X87" s="3"/>
      </tp>
      <tp t="s">
        <v>#N/A N/A</v>
        <stp/>
        <stp>BDH|740120884213975330</stp>
        <tr r="D89" s="3"/>
      </tp>
      <tp t="s">
        <v>#N/A N/A</v>
        <stp/>
        <stp>BDH|808905999598020152</stp>
        <tr r="O21" s="2"/>
      </tp>
      <tp t="s">
        <v>#N/A N/A</v>
        <stp/>
        <stp>BDH|397017182608773957</stp>
        <tr r="O14" s="2"/>
      </tp>
      <tp t="s">
        <v>#N/A N/A</v>
        <stp/>
        <stp>BDH|278428424526478933</stp>
        <tr r="N67" s="2"/>
      </tp>
      <tp t="s">
        <v>#N/A N/A</v>
        <stp/>
        <stp>BDH|474646688020833694</stp>
        <tr r="K49" s="3"/>
      </tp>
      <tp t="s">
        <v>#N/A N/A</v>
        <stp/>
        <stp>BDH|134802771323148483</stp>
        <tr r="Z25" s="2"/>
      </tp>
      <tp t="s">
        <v>#N/A N/A</v>
        <stp/>
        <stp>BDH|909038329208973204</stp>
        <tr r="E19" s="3"/>
      </tp>
      <tp t="s">
        <v>#N/A N/A</v>
        <stp/>
        <stp>BDH|100898967271623731</stp>
        <tr r="I9" s="3"/>
      </tp>
      <tp t="s">
        <v>#N/A N/A</v>
        <stp/>
        <stp>BDH|521377704808462393</stp>
        <tr r="G12" s="4"/>
      </tp>
      <tp t="s">
        <v>#N/A N/A</v>
        <stp/>
        <stp>BDH|866505286804517108</stp>
        <tr r="X41" s="3"/>
      </tp>
      <tp t="s">
        <v>#N/A N/A</v>
        <stp/>
        <stp>BDH|275729847829130221</stp>
        <tr r="F15" s="4"/>
      </tp>
      <tp t="s">
        <v>#N/A N/A</v>
        <stp/>
        <stp>BDH|441945911578253862</stp>
        <tr r="M26" s="2"/>
      </tp>
      <tp t="s">
        <v>#N/A N/A</v>
        <stp/>
        <stp>BDH|156592371462786890</stp>
        <tr r="H21" s="4"/>
      </tp>
      <tp t="s">
        <v>#N/A N/A</v>
        <stp/>
        <stp>BDH|761233670598536566</stp>
        <tr r="E83" s="3"/>
      </tp>
      <tp t="s">
        <v>#N/A N/A</v>
        <stp/>
        <stp>BDH|325208931088077122</stp>
        <tr r="Q92" s="3"/>
      </tp>
      <tp t="s">
        <v>#N/A N/A</v>
        <stp/>
        <stp>BDH|217234240549957794</stp>
        <tr r="J64" s="2"/>
      </tp>
      <tp t="s">
        <v>#N/A N/A</v>
        <stp/>
        <stp>BDH|195439938939154692</stp>
        <tr r="V29" s="3"/>
      </tp>
      <tp t="s">
        <v>#N/A N/A</v>
        <stp/>
        <stp>BDH|598741537724641833</stp>
        <tr r="O13" s="4"/>
      </tp>
      <tp t="s">
        <v>#N/A N/A</v>
        <stp/>
        <stp>BDH|349807642461560697</stp>
        <tr r="Q63" s="3"/>
      </tp>
      <tp t="s">
        <v>#N/A N/A</v>
        <stp/>
        <stp>BDH|233768784293118780</stp>
        <tr r="G63" s="4"/>
      </tp>
      <tp t="s">
        <v>#N/A N/A</v>
        <stp/>
        <stp>BDH|163866859656502018</stp>
        <tr r="J66" s="3"/>
      </tp>
      <tp t="s">
        <v>#N/A N/A</v>
        <stp/>
        <stp>BDH|386014328160782967</stp>
        <tr r="E57" s="3"/>
      </tp>
      <tp t="s">
        <v>#N/A N/A</v>
        <stp/>
        <stp>BDH|126553791074090316</stp>
        <tr r="D43" s="2"/>
      </tp>
      <tp t="s">
        <v>#N/A N/A</v>
        <stp/>
        <stp>BDH|125937220244216445</stp>
        <tr r="W20" s="3"/>
      </tp>
      <tp t="s">
        <v>#N/A N/A</v>
        <stp/>
        <stp>BDH|267576660108889089</stp>
        <tr r="G64" s="4"/>
      </tp>
      <tp t="s">
        <v>#N/A N/A</v>
        <stp/>
        <stp>BDH|274935981579349357</stp>
        <tr r="V26" s="3"/>
      </tp>
      <tp t="s">
        <v>#N/A N/A</v>
        <stp/>
        <stp>BDH|694868942764704322</stp>
        <tr r="U59" s="3"/>
      </tp>
      <tp t="s">
        <v>#N/A N/A</v>
        <stp/>
        <stp>BDH|704293146775363893</stp>
        <tr r="Q27" s="3"/>
      </tp>
      <tp t="s">
        <v>#N/A N/A</v>
        <stp/>
        <stp>BDH|861922824730311116</stp>
        <tr r="I47" s="3"/>
      </tp>
      <tp t="s">
        <v>#N/A N/A</v>
        <stp/>
        <stp>BDH|261994911916424438</stp>
        <tr r="P17" s="2"/>
      </tp>
      <tp t="s">
        <v>#N/A N/A</v>
        <stp/>
        <stp>BDH|845551355378286241</stp>
        <tr r="C13" s="2"/>
      </tp>
      <tp t="s">
        <v>#N/A N/A</v>
        <stp/>
        <stp>BDH|146807891979894261</stp>
        <tr r="L37" s="2"/>
      </tp>
      <tp t="s">
        <v>#N/A N/A</v>
        <stp/>
        <stp>BDH|815695633587511894</stp>
        <tr r="C71" s="2"/>
      </tp>
      <tp t="s">
        <v>#N/A N/A</v>
        <stp/>
        <stp>BDH|788131201162822922</stp>
        <tr r="W35" s="3"/>
      </tp>
      <tp t="s">
        <v>#N/A N/A</v>
        <stp/>
        <stp>BDH|858723533148716616</stp>
        <tr r="Y56" s="3"/>
      </tp>
      <tp t="s">
        <v>#N/A N/A</v>
        <stp/>
        <stp>BDH|537318088933313260</stp>
        <tr r="I26" s="4"/>
      </tp>
      <tp t="s">
        <v>#N/A N/A</v>
        <stp/>
        <stp>BDH|655860413220894308</stp>
        <tr r="H92" s="3"/>
      </tp>
      <tp t="s">
        <v>#N/A N/A</v>
        <stp/>
        <stp>BDH|764479366909051129</stp>
        <tr r="G61" s="2"/>
      </tp>
      <tp t="s">
        <v>#N/A N/A</v>
        <stp/>
        <stp>BDH|829127286704896722</stp>
        <tr r="J42" s="3"/>
      </tp>
      <tp t="s">
        <v>#N/A N/A</v>
        <stp/>
        <stp>BDH|318437757352060909</stp>
        <tr r="K39" s="2"/>
      </tp>
      <tp t="s">
        <v>#N/A N/A</v>
        <stp/>
        <stp>BDH|950664084005989102</stp>
        <tr r="I12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6" width="11.855468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</row>
    <row r="5" spans="1:26" x14ac:dyDescent="0.25">
      <c r="A5" s="9" t="s">
        <v>30</v>
      </c>
      <c r="B5" s="9"/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38</v>
      </c>
      <c r="K5" s="5" t="s">
        <v>39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  <c r="R5" s="5" t="s">
        <v>46</v>
      </c>
      <c r="S5" s="5" t="s">
        <v>47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52</v>
      </c>
      <c r="Y5" s="5" t="s">
        <v>53</v>
      </c>
      <c r="Z5" s="5" t="s">
        <v>54</v>
      </c>
    </row>
    <row r="6" spans="1:26" x14ac:dyDescent="0.25">
      <c r="A6" s="6" t="s">
        <v>0</v>
      </c>
      <c r="B6" s="6" t="s">
        <v>55</v>
      </c>
      <c r="C6" s="16">
        <f>_xll.BDH("ALNY US Equity","SALES_REV_TURN","FQ1 2019","FQ1 2019","Currency=USD","Period=FQ","BEST_FPERIOD_OVERRIDE=FQ","FILING_STATUS=MR","SCALING_FORMAT=MLN","FA_ADJUSTED=Adjusted","Sort=A","Dates=H","DateFormat=P","Fill=—","Direction=H","UseDPDF=Y")</f>
        <v>33.293999999999997</v>
      </c>
      <c r="D6" s="16">
        <f>_xll.BDH("ALNY US Equity","SALES_REV_TURN","FQ2 2019","FQ2 2019","Currency=USD","Period=FQ","BEST_FPERIOD_OVERRIDE=FQ","FILING_STATUS=MR","SCALING_FORMAT=MLN","FA_ADJUSTED=Adjusted","Sort=A","Dates=H","DateFormat=P","Fill=—","Direction=H","UseDPDF=Y")</f>
        <v>44.713999999999999</v>
      </c>
      <c r="E6" s="16">
        <f>_xll.BDH("ALNY US Equity","SALES_REV_TURN","FQ3 2019","FQ3 2019","Currency=USD","Period=FQ","BEST_FPERIOD_OVERRIDE=FQ","FILING_STATUS=MR","SCALING_FORMAT=MLN","FA_ADJUSTED=Adjusted","Sort=A","Dates=H","DateFormat=P","Fill=—","Direction=H","UseDPDF=Y")</f>
        <v>70.061000000000007</v>
      </c>
      <c r="F6" s="16">
        <f>_xll.BDH("ALNY US Equity","SALES_REV_TURN","FQ4 2019","FQ4 2019","Currency=USD","Period=FQ","BEST_FPERIOD_OVERRIDE=FQ","FILING_STATUS=MR","SCALING_FORMAT=MLN","FA_ADJUSTED=Adjusted","Sort=A","Dates=H","DateFormat=P","Fill=—","Direction=H","UseDPDF=Y")</f>
        <v>71.680999999999997</v>
      </c>
      <c r="G6" s="16">
        <f>_xll.BDH("ALNY US Equity","SALES_REV_TURN","FQ1 2020","FQ1 2020","Currency=USD","Period=FQ","BEST_FPERIOD_OVERRIDE=FQ","FILING_STATUS=MR","SCALING_FORMAT=MLN","FA_ADJUSTED=Adjusted","Sort=A","Dates=H","DateFormat=P","Fill=—","Direction=H","UseDPDF=Y")</f>
        <v>99.475999999999999</v>
      </c>
      <c r="H6" s="16">
        <f>_xll.BDH("ALNY US Equity","SALES_REV_TURN","FQ2 2020","FQ2 2020","Currency=USD","Period=FQ","BEST_FPERIOD_OVERRIDE=FQ","FILING_STATUS=MR","SCALING_FORMAT=MLN","FA_ADJUSTED=Adjusted","Sort=A","Dates=H","DateFormat=P","Fill=—","Direction=H","UseDPDF=Y")</f>
        <v>103.962</v>
      </c>
      <c r="I6" s="16">
        <f>_xll.BDH("ALNY US Equity","SALES_REV_TURN","FQ3 2020","FQ3 2020","Currency=USD","Period=FQ","BEST_FPERIOD_OVERRIDE=FQ","FILING_STATUS=MR","SCALING_FORMAT=MLN","FA_ADJUSTED=Adjusted","Sort=A","Dates=H","DateFormat=P","Fill=—","Direction=H","UseDPDF=Y")</f>
        <v>125.85299999999999</v>
      </c>
      <c r="J6" s="16">
        <f>_xll.BDH("ALNY US Equity","SALES_REV_TURN","FQ4 2020","FQ4 2020","Currency=USD","Period=FQ","BEST_FPERIOD_OVERRIDE=FQ","FILING_STATUS=MR","SCALING_FORMAT=MLN","FA_ADJUSTED=Adjusted","Sort=A","Dates=H","DateFormat=P","Fill=—","Direction=H","UseDPDF=Y")</f>
        <v>163.56200000000001</v>
      </c>
      <c r="K6" s="16">
        <f>_xll.BDH("ALNY US Equity","SALES_REV_TURN","FQ1 2021","FQ1 2021","Currency=USD","Period=FQ","BEST_FPERIOD_OVERRIDE=FQ","FILING_STATUS=MR","SCALING_FORMAT=MLN","FA_ADJUSTED=Adjusted","Sort=A","Dates=H","DateFormat=P","Fill=—","Direction=H","UseDPDF=Y")</f>
        <v>177.566</v>
      </c>
      <c r="L6" s="16">
        <f>_xll.BDH("ALNY US Equity","SALES_REV_TURN","FQ2 2021","FQ2 2021","Currency=USD","Period=FQ","BEST_FPERIOD_OVERRIDE=FQ","FILING_STATUS=MR","SCALING_FORMAT=MLN","FA_ADJUSTED=Adjusted","Sort=A","Dates=H","DateFormat=P","Fill=—","Direction=H","UseDPDF=Y")</f>
        <v>220.553</v>
      </c>
      <c r="M6" s="16">
        <f>_xll.BDH("ALNY US Equity","SALES_REV_TURN","FQ3 2021","FQ3 2021","Currency=USD","Period=FQ","BEST_FPERIOD_OVERRIDE=FQ","FILING_STATUS=MR","SCALING_FORMAT=MLN","FA_ADJUSTED=Adjusted","Sort=A","Dates=H","DateFormat=P","Fill=—","Direction=H","UseDPDF=Y")</f>
        <v>187.63300000000001</v>
      </c>
      <c r="N6" s="16">
        <f>_xll.BDH("ALNY US Equity","SALES_REV_TURN","FQ4 2021","FQ4 2021","Currency=USD","Period=FQ","BEST_FPERIOD_OVERRIDE=FQ","FILING_STATUS=MR","SCALING_FORMAT=MLN","FA_ADJUSTED=Adjusted","Sort=A","Dates=H","DateFormat=P","Fill=—","Direction=H","UseDPDF=Y")</f>
        <v>258.53500000000003</v>
      </c>
      <c r="O6" s="16">
        <f>_xll.BDH("ALNY US Equity","SALES_REV_TURN","FQ1 2022","FQ1 2022","Currency=USD","Period=FQ","BEST_FPERIOD_OVERRIDE=FQ","FILING_STATUS=MR","SCALING_FORMAT=MLN","FA_ADJUSTED=Adjusted","Sort=A","Dates=H","DateFormat=P","Fill=—","Direction=H","UseDPDF=Y")</f>
        <v>213.25899999999999</v>
      </c>
      <c r="P6" s="16">
        <f>_xll.BDH("ALNY US Equity","SALES_REV_TURN","FQ2 2022","FQ2 2022","Currency=USD","Period=FQ","BEST_FPERIOD_OVERRIDE=FQ","FILING_STATUS=MR","SCALING_FORMAT=MLN","FA_ADJUSTED=Adjusted","Sort=A","Dates=H","DateFormat=P","Fill=—","Direction=H","UseDPDF=Y")</f>
        <v>224.81800000000001</v>
      </c>
      <c r="Q6" s="16">
        <f>_xll.BDH("ALNY US Equity","SALES_REV_TURN","FQ3 2022","FQ3 2022","Currency=USD","Period=FQ","BEST_FPERIOD_OVERRIDE=FQ","FILING_STATUS=MR","SCALING_FORMAT=MLN","FA_ADJUSTED=Adjusted","Sort=A","Dates=H","DateFormat=P","Fill=—","Direction=H","UseDPDF=Y")</f>
        <v>264.30599999999998</v>
      </c>
      <c r="R6" s="16">
        <f>_xll.BDH("ALNY US Equity","SALES_REV_TURN","FQ4 2022","FQ4 2022","Currency=USD","Period=FQ","BEST_FPERIOD_OVERRIDE=FQ","FILING_STATUS=MR","SCALING_FORMAT=MLN","FA_ADJUSTED=Adjusted","Sort=A","Dates=H","DateFormat=P","Fill=—","Direction=H","UseDPDF=Y")</f>
        <v>335.03500000000003</v>
      </c>
      <c r="S6" s="16">
        <f>_xll.BDH("ALNY US Equity","SALES_REV_TURN","FQ1 2023","FQ1 2023","Currency=USD","Period=FQ","BEST_FPERIOD_OVERRIDE=FQ","FILING_STATUS=MR","SCALING_FORMAT=MLN","FA_ADJUSTED=Adjusted","Sort=A","Dates=H","DateFormat=P","Fill=—","Direction=H","UseDPDF=Y")</f>
        <v>319.29000000000002</v>
      </c>
      <c r="T6" s="16">
        <f>_xll.BDH("ALNY US Equity","SALES_REV_TURN","FQ2 2023","FQ2 2023","Currency=USD","Period=FQ","BEST_FPERIOD_OVERRIDE=FQ","FILING_STATUS=MR","SCALING_FORMAT=MLN","FA_ADJUSTED=Adjusted","Sort=A","Dates=H","DateFormat=P","Fill=—","Direction=H","UseDPDF=Y")</f>
        <v>318.75400000000002</v>
      </c>
      <c r="U6" s="16">
        <f>_xll.BDH("ALNY US Equity","SALES_REV_TURN","FQ3 2023","FQ3 2023","Currency=USD","Period=FQ","BEST_FPERIOD_OVERRIDE=FQ","FILING_STATUS=MR","SCALING_FORMAT=MLN","FA_ADJUSTED=Adjusted","Sort=A","Dates=H","DateFormat=P","Fill=—","Direction=H","UseDPDF=Y")</f>
        <v>750.53</v>
      </c>
      <c r="V6" s="16">
        <f>_xll.BDH("ALNY US Equity","SALES_REV_TURN","FQ4 2023","FQ4 2023","Currency=USD","Period=FQ","BEST_FPERIOD_OVERRIDE=FQ","FILING_STATUS=MR","SCALING_FORMAT=MLN","FA_ADJUSTED=Adjusted","Sort=A","Dates=H","DateFormat=P","Fill=—","Direction=H","UseDPDF=Y")</f>
        <v>439.71800000000002</v>
      </c>
      <c r="W6" s="16">
        <f>_xll.BDH("ALNY US Equity","SALES_REV_TURN","FQ1 2024","FQ1 2024","Currency=USD","Period=FQ","BEST_FPERIOD_OVERRIDE=FQ","FILING_STATUS=MR","SCALING_FORMAT=MLN","FA_ADJUSTED=Adjusted","Sort=A","Dates=H","DateFormat=P","Fill=—","Direction=H","UseDPDF=Y")</f>
        <v>494.33300000000003</v>
      </c>
      <c r="X6" s="16">
        <f>_xll.BDH("ALNY US Equity","SALES_REV_TURN","FQ2 2024","FQ2 2024","Currency=USD","Period=FQ","BEST_FPERIOD_OVERRIDE=FQ","FILING_STATUS=MR","SCALING_FORMAT=MLN","FA_ADJUSTED=Adjusted","Sort=A","Dates=H","DateFormat=P","Fill=—","Direction=H","UseDPDF=Y")</f>
        <v>659.82500000000005</v>
      </c>
      <c r="Y6" s="16">
        <f>_xll.BDH("ALNY US Equity","SALES_REV_TURN","FQ3 2024","FQ3 2024","Currency=USD","Period=FQ","BEST_FPERIOD_OVERRIDE=FQ","FILING_STATUS=MR","SCALING_FORMAT=MLN","FA_ADJUSTED=Adjusted","Sort=A","Dates=H","DateFormat=P","Fill=—","Direction=H","UseDPDF=Y")</f>
        <v>500.91899999999998</v>
      </c>
      <c r="Z6" s="16">
        <f>_xll.BDH("ALNY US Equity","SALES_REV_TURN","FQ4 2024","FQ4 2024","Currency=USD","Period=FQ","BEST_FPERIOD_OVERRIDE=FQ","FILING_STATUS=MR","SCALING_FORMAT=MLN","FA_ADJUSTED=Adjusted","Sort=A","Dates=H","DateFormat=P","Fill=—","Direction=H","UseDPDF=Y")</f>
        <v>593.16600000000005</v>
      </c>
    </row>
    <row r="7" spans="1:26" x14ac:dyDescent="0.25">
      <c r="A7" s="10" t="s">
        <v>56</v>
      </c>
      <c r="B7" s="10" t="s">
        <v>57</v>
      </c>
      <c r="C7" s="13">
        <f>_xll.BDH("ALNY US Equity","IS_SALES_AND_SERVICES_REVENUES","FQ1 2019","FQ1 2019","Currency=USD","Period=FQ","BEST_FPERIOD_OVERRIDE=FQ","FILING_STATUS=MR","SCALING_FORMAT=MLN","FA_ADJUSTED=Adjusted","Sort=A","Dates=H","DateFormat=P","Fill=—","Direction=H","UseDPDF=Y")</f>
        <v>33.293999999999997</v>
      </c>
      <c r="D7" s="13">
        <f>_xll.BDH("ALNY US Equity","IS_SALES_AND_SERVICES_REVENUES","FQ2 2019","FQ2 2019","Currency=USD","Period=FQ","BEST_FPERIOD_OVERRIDE=FQ","FILING_STATUS=MR","SCALING_FORMAT=MLN","FA_ADJUSTED=Adjusted","Sort=A","Dates=H","DateFormat=P","Fill=—","Direction=H","UseDPDF=Y")</f>
        <v>44.713999999999999</v>
      </c>
      <c r="E7" s="13">
        <f>_xll.BDH("ALNY US Equity","IS_SALES_AND_SERVICES_REVENUES","FQ3 2019","FQ3 2019","Currency=USD","Period=FQ","BEST_FPERIOD_OVERRIDE=FQ","FILING_STATUS=MR","SCALING_FORMAT=MLN","FA_ADJUSTED=Adjusted","Sort=A","Dates=H","DateFormat=P","Fill=—","Direction=H","UseDPDF=Y")</f>
        <v>70.061000000000007</v>
      </c>
      <c r="F7" s="13">
        <f>_xll.BDH("ALNY US Equity","IS_SALES_AND_SERVICES_REVENUES","FQ4 2019","FQ4 2019","Currency=USD","Period=FQ","BEST_FPERIOD_OVERRIDE=FQ","FILING_STATUS=MR","SCALING_FORMAT=MLN","FA_ADJUSTED=Adjusted","Sort=A","Dates=H","DateFormat=P","Fill=—","Direction=H","UseDPDF=Y")</f>
        <v>71.680999999999997</v>
      </c>
      <c r="G7" s="13">
        <f>_xll.BDH("ALNY US Equity","IS_SALES_AND_SERVICES_REVENUES","FQ1 2020","FQ1 2020","Currency=USD","Period=FQ","BEST_FPERIOD_OVERRIDE=FQ","FILING_STATUS=MR","SCALING_FORMAT=MLN","FA_ADJUSTED=Adjusted","Sort=A","Dates=H","DateFormat=P","Fill=—","Direction=H","UseDPDF=Y")</f>
        <v>99.475999999999999</v>
      </c>
      <c r="H7" s="13">
        <f>_xll.BDH("ALNY US Equity","IS_SALES_AND_SERVICES_REVENUES","FQ2 2020","FQ2 2020","Currency=USD","Period=FQ","BEST_FPERIOD_OVERRIDE=FQ","FILING_STATUS=MR","SCALING_FORMAT=MLN","FA_ADJUSTED=Adjusted","Sort=A","Dates=H","DateFormat=P","Fill=—","Direction=H","UseDPDF=Y")</f>
        <v>103.962</v>
      </c>
      <c r="I7" s="13">
        <f>_xll.BDH("ALNY US Equity","IS_SALES_AND_SERVICES_REVENUES","FQ3 2020","FQ3 2020","Currency=USD","Period=FQ","BEST_FPERIOD_OVERRIDE=FQ","FILING_STATUS=MR","SCALING_FORMAT=MLN","FA_ADJUSTED=Adjusted","Sort=A","Dates=H","DateFormat=P","Fill=—","Direction=H","UseDPDF=Y")</f>
        <v>125.85299999999999</v>
      </c>
      <c r="J7" s="13">
        <f>_xll.BDH("ALNY US Equity","IS_SALES_AND_SERVICES_REVENUES","FQ4 2020","FQ4 2020","Currency=USD","Period=FQ","BEST_FPERIOD_OVERRIDE=FQ","FILING_STATUS=MR","SCALING_FORMAT=MLN","FA_ADJUSTED=Adjusted","Sort=A","Dates=H","DateFormat=P","Fill=—","Direction=H","UseDPDF=Y")</f>
        <v>163.56200000000001</v>
      </c>
      <c r="K7" s="13">
        <f>_xll.BDH("ALNY US Equity","IS_SALES_AND_SERVICES_REVENUES","FQ1 2021","FQ1 2021","Currency=USD","Period=FQ","BEST_FPERIOD_OVERRIDE=FQ","FILING_STATUS=MR","SCALING_FORMAT=MLN","FA_ADJUSTED=Adjusted","Sort=A","Dates=H","DateFormat=P","Fill=—","Direction=H","UseDPDF=Y")</f>
        <v>177.566</v>
      </c>
      <c r="L7" s="13">
        <f>_xll.BDH("ALNY US Equity","IS_SALES_AND_SERVICES_REVENUES","FQ2 2021","FQ2 2021","Currency=USD","Period=FQ","BEST_FPERIOD_OVERRIDE=FQ","FILING_STATUS=MR","SCALING_FORMAT=MLN","FA_ADJUSTED=Adjusted","Sort=A","Dates=H","DateFormat=P","Fill=—","Direction=H","UseDPDF=Y")</f>
        <v>220.20599999999999</v>
      </c>
      <c r="M7" s="13">
        <f>_xll.BDH("ALNY US Equity","IS_SALES_AND_SERVICES_REVENUES","FQ3 2021","FQ3 2021","Currency=USD","Period=FQ","BEST_FPERIOD_OVERRIDE=FQ","FILING_STATUS=MR","SCALING_FORMAT=MLN","FA_ADJUSTED=Adjusted","Sort=A","Dates=H","DateFormat=P","Fill=—","Direction=H","UseDPDF=Y")</f>
        <v>187.18</v>
      </c>
      <c r="N7" s="13">
        <f>_xll.BDH("ALNY US Equity","IS_SALES_AND_SERVICES_REVENUES","FQ4 2021","FQ4 2021","Currency=USD","Period=FQ","BEST_FPERIOD_OVERRIDE=FQ","FILING_STATUS=MR","SCALING_FORMAT=MLN","FA_ADJUSTED=Adjusted","Sort=A","Dates=H","DateFormat=P","Fill=—","Direction=H","UseDPDF=Y")</f>
        <v>258.13900000000001</v>
      </c>
      <c r="O7" s="13">
        <f>_xll.BDH("ALNY US Equity","IS_SALES_AND_SERVICES_REVENUES","FQ1 2022","FQ1 2022","Currency=USD","Period=FQ","BEST_FPERIOD_OVERRIDE=FQ","FILING_STATUS=MR","SCALING_FORMAT=MLN","FA_ADJUSTED=Adjusted","Sort=A","Dates=H","DateFormat=P","Fill=—","Direction=H","UseDPDF=Y")</f>
        <v>212.81700000000001</v>
      </c>
      <c r="P7" s="13">
        <f>_xll.BDH("ALNY US Equity","IS_SALES_AND_SERVICES_REVENUES","FQ2 2022","FQ2 2022","Currency=USD","Period=FQ","BEST_FPERIOD_OVERRIDE=FQ","FILING_STATUS=MR","SCALING_FORMAT=MLN","FA_ADJUSTED=Adjusted","Sort=A","Dates=H","DateFormat=P","Fill=—","Direction=H","UseDPDF=Y")</f>
        <v>222.54</v>
      </c>
      <c r="Q7" s="13">
        <f>_xll.BDH("ALNY US Equity","IS_SALES_AND_SERVICES_REVENUES","FQ3 2022","FQ3 2022","Currency=USD","Period=FQ","BEST_FPERIOD_OVERRIDE=FQ","FILING_STATUS=MR","SCALING_FORMAT=MLN","FA_ADJUSTED=Adjusted","Sort=A","Dates=H","DateFormat=P","Fill=—","Direction=H","UseDPDF=Y")</f>
        <v>261.56400000000002</v>
      </c>
      <c r="R7" s="13">
        <f>_xll.BDH("ALNY US Equity","IS_SALES_AND_SERVICES_REVENUES","FQ4 2022","FQ4 2022","Currency=USD","Period=FQ","BEST_FPERIOD_OVERRIDE=FQ","FILING_STATUS=MR","SCALING_FORMAT=MLN","FA_ADJUSTED=Adjusted","Sort=A","Dates=H","DateFormat=P","Fill=—","Direction=H","UseDPDF=Y")</f>
        <v>332.32</v>
      </c>
      <c r="S7" s="13">
        <f>_xll.BDH("ALNY US Equity","IS_SALES_AND_SERVICES_REVENUES","FQ1 2023","FQ1 2023","Currency=USD","Period=FQ","BEST_FPERIOD_OVERRIDE=FQ","FILING_STATUS=MR","SCALING_FORMAT=MLN","FA_ADJUSTED=Adjusted","Sort=A","Dates=H","DateFormat=P","Fill=—","Direction=H","UseDPDF=Y")</f>
        <v>312.79000000000002</v>
      </c>
      <c r="T7" s="13">
        <f>_xll.BDH("ALNY US Equity","IS_SALES_AND_SERVICES_REVENUES","FQ2 2023","FQ2 2023","Currency=USD","Period=FQ","BEST_FPERIOD_OVERRIDE=FQ","FILING_STATUS=MR","SCALING_FORMAT=MLN","FA_ADJUSTED=Adjusted","Sort=A","Dates=H","DateFormat=P","Fill=—","Direction=H","UseDPDF=Y")</f>
        <v>311.54899999999998</v>
      </c>
      <c r="U7" s="13">
        <f>_xll.BDH("ALNY US Equity","IS_SALES_AND_SERVICES_REVENUES","FQ3 2023","FQ3 2023","Currency=USD","Period=FQ","BEST_FPERIOD_OVERRIDE=FQ","FILING_STATUS=MR","SCALING_FORMAT=MLN","FA_ADJUSTED=Adjusted","Sort=A","Dates=H","DateFormat=P","Fill=—","Direction=H","UseDPDF=Y")</f>
        <v>740.625</v>
      </c>
      <c r="V7" s="13">
        <f>_xll.BDH("ALNY US Equity","IS_SALES_AND_SERVICES_REVENUES","FQ4 2023","FQ4 2023","Currency=USD","Period=FQ","BEST_FPERIOD_OVERRIDE=FQ","FILING_STATUS=MR","SCALING_FORMAT=MLN","FA_ADJUSTED=Adjusted","Sort=A","Dates=H","DateFormat=P","Fill=—","Direction=H","UseDPDF=Y")</f>
        <v>422.69499999999999</v>
      </c>
      <c r="W7" s="13">
        <f>_xll.BDH("ALNY US Equity","IS_SALES_AND_SERVICES_REVENUES","FQ1 2024","FQ1 2024","Currency=USD","Period=FQ","BEST_FPERIOD_OVERRIDE=FQ","FILING_STATUS=MR","SCALING_FORMAT=MLN","FA_ADJUSTED=Adjusted","Sort=A","Dates=H","DateFormat=P","Fill=—","Direction=H","UseDPDF=Y")</f>
        <v>483.71100000000001</v>
      </c>
      <c r="X7" s="13">
        <f>_xll.BDH("ALNY US Equity","IS_SALES_AND_SERVICES_REVENUES","FQ2 2024","FQ2 2024","Currency=USD","Period=FQ","BEST_FPERIOD_OVERRIDE=FQ","FILING_STATUS=MR","SCALING_FORMAT=MLN","FA_ADJUSTED=Adjusted","Sort=A","Dates=H","DateFormat=P","Fill=—","Direction=H","UseDPDF=Y")</f>
        <v>637.42600000000004</v>
      </c>
      <c r="Y7" s="13">
        <f>_xll.BDH("ALNY US Equity","IS_SALES_AND_SERVICES_REVENUES","FQ3 2024","FQ3 2024","Currency=USD","Period=FQ","BEST_FPERIOD_OVERRIDE=FQ","FILING_STATUS=MR","SCALING_FORMAT=MLN","FA_ADJUSTED=Adjusted","Sort=A","Dates=H","DateFormat=P","Fill=—","Direction=H","UseDPDF=Y")</f>
        <v>477.53300000000002</v>
      </c>
      <c r="Z7" s="13">
        <f>_xll.BDH("ALNY US Equity","IS_SALES_AND_SERVICES_REVENUES","FQ4 2024","FQ4 2024","Currency=USD","Period=FQ","BEST_FPERIOD_OVERRIDE=FQ","FILING_STATUS=MR","SCALING_FORMAT=MLN","FA_ADJUSTED=Adjusted","Sort=A","Dates=H","DateFormat=P","Fill=—","Direction=H","UseDPDF=Y")</f>
        <v>557.779</v>
      </c>
    </row>
    <row r="8" spans="1:26" x14ac:dyDescent="0.25">
      <c r="A8" s="10" t="s">
        <v>58</v>
      </c>
      <c r="B8" s="10" t="s">
        <v>59</v>
      </c>
      <c r="C8" s="13" t="str">
        <f>_xll.BDH("ALNY US Equity","IS_OTHER_REVENUE","FQ1 2019","FQ1 2019","Currency=USD","Period=FQ","BEST_FPERIOD_OVERRIDE=FQ","FILING_STATUS=MR","SCALING_FORMAT=MLN","FA_ADJUSTED=Adjusted","Sort=A","Dates=H","DateFormat=P","Fill=—","Direction=H","UseDPDF=Y")</f>
        <v>—</v>
      </c>
      <c r="D8" s="13" t="str">
        <f>_xll.BDH("ALNY US Equity","IS_OTHER_REVENUE","FQ2 2019","FQ2 2019","Currency=USD","Period=FQ","BEST_FPERIOD_OVERRIDE=FQ","FILING_STATUS=MR","SCALING_FORMAT=MLN","FA_ADJUSTED=Adjusted","Sort=A","Dates=H","DateFormat=P","Fill=—","Direction=H","UseDPDF=Y")</f>
        <v>—</v>
      </c>
      <c r="E8" s="13" t="str">
        <f>_xll.BDH("ALNY US Equity","IS_OTHER_REVENUE","FQ3 2019","FQ3 2019","Currency=USD","Period=FQ","BEST_FPERIOD_OVERRIDE=FQ","FILING_STATUS=MR","SCALING_FORMAT=MLN","FA_ADJUSTED=Adjusted","Sort=A","Dates=H","DateFormat=P","Fill=—","Direction=H","UseDPDF=Y")</f>
        <v>—</v>
      </c>
      <c r="F8" s="13" t="str">
        <f>_xll.BDH("ALNY US Equity","IS_OTHER_REVENUE","FQ4 2019","FQ4 2019","Currency=USD","Period=FQ","BEST_FPERIOD_OVERRIDE=FQ","FILING_STATUS=MR","SCALING_FORMAT=MLN","FA_ADJUSTED=Adjusted","Sort=A","Dates=H","DateFormat=P","Fill=—","Direction=H","UseDPDF=Y")</f>
        <v>—</v>
      </c>
      <c r="G8" s="13" t="str">
        <f>_xll.BDH("ALNY US Equity","IS_OTHER_REVENUE","FQ1 2020","FQ1 2020","Currency=USD","Period=FQ","BEST_FPERIOD_OVERRIDE=FQ","FILING_STATUS=MR","SCALING_FORMAT=MLN","FA_ADJUSTED=Adjusted","Sort=A","Dates=H","DateFormat=P","Fill=—","Direction=H","UseDPDF=Y")</f>
        <v>—</v>
      </c>
      <c r="H8" s="13" t="str">
        <f>_xll.BDH("ALNY US Equity","IS_OTHER_REVENUE","FQ2 2020","FQ2 2020","Currency=USD","Period=FQ","BEST_FPERIOD_OVERRIDE=FQ","FILING_STATUS=MR","SCALING_FORMAT=MLN","FA_ADJUSTED=Adjusted","Sort=A","Dates=H","DateFormat=P","Fill=—","Direction=H","UseDPDF=Y")</f>
        <v>—</v>
      </c>
      <c r="I8" s="13" t="str">
        <f>_xll.BDH("ALNY US Equity","IS_OTHER_REVENUE","FQ3 2020","FQ3 2020","Currency=USD","Period=FQ","BEST_FPERIOD_OVERRIDE=FQ","FILING_STATUS=MR","SCALING_FORMAT=MLN","FA_ADJUSTED=Adjusted","Sort=A","Dates=H","DateFormat=P","Fill=—","Direction=H","UseDPDF=Y")</f>
        <v>—</v>
      </c>
      <c r="J8" s="13" t="str">
        <f>_xll.BDH("ALNY US Equity","IS_OTHER_REVENUE","FQ4 2020","FQ4 2020","Currency=USD","Period=FQ","BEST_FPERIOD_OVERRIDE=FQ","FILING_STATUS=MR","SCALING_FORMAT=MLN","FA_ADJUSTED=Adjusted","Sort=A","Dates=H","DateFormat=P","Fill=—","Direction=H","UseDPDF=Y")</f>
        <v>—</v>
      </c>
      <c r="K8" s="13" t="str">
        <f>_xll.BDH("ALNY US Equity","IS_OTHER_REVENUE","FQ1 2021","FQ1 2021","Currency=USD","Period=FQ","BEST_FPERIOD_OVERRIDE=FQ","FILING_STATUS=MR","SCALING_FORMAT=MLN","FA_ADJUSTED=Adjusted","Sort=A","Dates=H","DateFormat=P","Fill=—","Direction=H","UseDPDF=Y")</f>
        <v>—</v>
      </c>
      <c r="L8" s="13">
        <f>_xll.BDH("ALNY US Equity","IS_OTHER_REVENUE","FQ2 2021","FQ2 2021","Currency=USD","Period=FQ","BEST_FPERIOD_OVERRIDE=FQ","FILING_STATUS=MR","SCALING_FORMAT=MLN","FA_ADJUSTED=Adjusted","Sort=A","Dates=H","DateFormat=P","Fill=—","Direction=H","UseDPDF=Y")</f>
        <v>0.34699999999999998</v>
      </c>
      <c r="M8" s="13">
        <f>_xll.BDH("ALNY US Equity","IS_OTHER_REVENUE","FQ3 2021","FQ3 2021","Currency=USD","Period=FQ","BEST_FPERIOD_OVERRIDE=FQ","FILING_STATUS=MR","SCALING_FORMAT=MLN","FA_ADJUSTED=Adjusted","Sort=A","Dates=H","DateFormat=P","Fill=—","Direction=H","UseDPDF=Y")</f>
        <v>0.45300000000000001</v>
      </c>
      <c r="N8" s="13">
        <f>_xll.BDH("ALNY US Equity","IS_OTHER_REVENUE","FQ4 2021","FQ4 2021","Currency=USD","Period=FQ","BEST_FPERIOD_OVERRIDE=FQ","FILING_STATUS=MR","SCALING_FORMAT=MLN","FA_ADJUSTED=Adjusted","Sort=A","Dates=H","DateFormat=P","Fill=—","Direction=H","UseDPDF=Y")</f>
        <v>0.39600000000000002</v>
      </c>
      <c r="O8" s="13">
        <f>_xll.BDH("ALNY US Equity","IS_OTHER_REVENUE","FQ1 2022","FQ1 2022","Currency=USD","Period=FQ","BEST_FPERIOD_OVERRIDE=FQ","FILING_STATUS=MR","SCALING_FORMAT=MLN","FA_ADJUSTED=Adjusted","Sort=A","Dates=H","DateFormat=P","Fill=—","Direction=H","UseDPDF=Y")</f>
        <v>0.442</v>
      </c>
      <c r="P8" s="13">
        <f>_xll.BDH("ALNY US Equity","IS_OTHER_REVENUE","FQ2 2022","FQ2 2022","Currency=USD","Period=FQ","BEST_FPERIOD_OVERRIDE=FQ","FILING_STATUS=MR","SCALING_FORMAT=MLN","FA_ADJUSTED=Adjusted","Sort=A","Dates=H","DateFormat=P","Fill=—","Direction=H","UseDPDF=Y")</f>
        <v>2.278</v>
      </c>
      <c r="Q8" s="13">
        <f>_xll.BDH("ALNY US Equity","IS_OTHER_REVENUE","FQ3 2022","FQ3 2022","Currency=USD","Period=FQ","BEST_FPERIOD_OVERRIDE=FQ","FILING_STATUS=MR","SCALING_FORMAT=MLN","FA_ADJUSTED=Adjusted","Sort=A","Dates=H","DateFormat=P","Fill=—","Direction=H","UseDPDF=Y")</f>
        <v>2.742</v>
      </c>
      <c r="R8" s="13">
        <f>_xll.BDH("ALNY US Equity","IS_OTHER_REVENUE","FQ4 2022","FQ4 2022","Currency=USD","Period=FQ","BEST_FPERIOD_OVERRIDE=FQ","FILING_STATUS=MR","SCALING_FORMAT=MLN","FA_ADJUSTED=Adjusted","Sort=A","Dates=H","DateFormat=P","Fill=—","Direction=H","UseDPDF=Y")</f>
        <v>2.7149999999999999</v>
      </c>
      <c r="S8" s="13">
        <f>_xll.BDH("ALNY US Equity","IS_OTHER_REVENUE","FQ1 2023","FQ1 2023","Currency=USD","Period=FQ","BEST_FPERIOD_OVERRIDE=FQ","FILING_STATUS=MR","SCALING_FORMAT=MLN","FA_ADJUSTED=Adjusted","Sort=A","Dates=H","DateFormat=P","Fill=—","Direction=H","UseDPDF=Y")</f>
        <v>6.5</v>
      </c>
      <c r="T8" s="13">
        <f>_xll.BDH("ALNY US Equity","IS_OTHER_REVENUE","FQ2 2023","FQ2 2023","Currency=USD","Period=FQ","BEST_FPERIOD_OVERRIDE=FQ","FILING_STATUS=MR","SCALING_FORMAT=MLN","FA_ADJUSTED=Adjusted","Sort=A","Dates=H","DateFormat=P","Fill=—","Direction=H","UseDPDF=Y")</f>
        <v>7.2050000000000001</v>
      </c>
      <c r="U8" s="13">
        <f>_xll.BDH("ALNY US Equity","IS_OTHER_REVENUE","FQ3 2023","FQ3 2023","Currency=USD","Period=FQ","BEST_FPERIOD_OVERRIDE=FQ","FILING_STATUS=MR","SCALING_FORMAT=MLN","FA_ADJUSTED=Adjusted","Sort=A","Dates=H","DateFormat=P","Fill=—","Direction=H","UseDPDF=Y")</f>
        <v>9.9049999999999994</v>
      </c>
      <c r="V8" s="13">
        <f>_xll.BDH("ALNY US Equity","IS_OTHER_REVENUE","FQ4 2023","FQ4 2023","Currency=USD","Period=FQ","BEST_FPERIOD_OVERRIDE=FQ","FILING_STATUS=MR","SCALING_FORMAT=MLN","FA_ADJUSTED=Adjusted","Sort=A","Dates=H","DateFormat=P","Fill=—","Direction=H","UseDPDF=Y")</f>
        <v>17.023</v>
      </c>
      <c r="W8" s="13">
        <f>_xll.BDH("ALNY US Equity","IS_OTHER_REVENUE","FQ1 2024","FQ1 2024","Currency=USD","Period=FQ","BEST_FPERIOD_OVERRIDE=FQ","FILING_STATUS=MR","SCALING_FORMAT=MLN","FA_ADJUSTED=Adjusted","Sort=A","Dates=H","DateFormat=P","Fill=—","Direction=H","UseDPDF=Y")</f>
        <v>10.622</v>
      </c>
      <c r="X8" s="13">
        <f>_xll.BDH("ALNY US Equity","IS_OTHER_REVENUE","FQ2 2024","FQ2 2024","Currency=USD","Period=FQ","BEST_FPERIOD_OVERRIDE=FQ","FILING_STATUS=MR","SCALING_FORMAT=MLN","FA_ADJUSTED=Adjusted","Sort=A","Dates=H","DateFormat=P","Fill=—","Direction=H","UseDPDF=Y")</f>
        <v>22.399000000000001</v>
      </c>
      <c r="Y8" s="13">
        <f>_xll.BDH("ALNY US Equity","IS_OTHER_REVENUE","FQ3 2024","FQ3 2024","Currency=USD","Period=FQ","BEST_FPERIOD_OVERRIDE=FQ","FILING_STATUS=MR","SCALING_FORMAT=MLN","FA_ADJUSTED=Adjusted","Sort=A","Dates=H","DateFormat=P","Fill=—","Direction=H","UseDPDF=Y")</f>
        <v>23.385999999999999</v>
      </c>
      <c r="Z8" s="13">
        <f>_xll.BDH("ALNY US Equity","IS_OTHER_REVENUE","FQ4 2024","FQ4 2024","Currency=USD","Period=FQ","BEST_FPERIOD_OVERRIDE=FQ","FILING_STATUS=MR","SCALING_FORMAT=MLN","FA_ADJUSTED=Adjusted","Sort=A","Dates=H","DateFormat=P","Fill=—","Direction=H","UseDPDF=Y")</f>
        <v>35.387</v>
      </c>
    </row>
    <row r="9" spans="1:26" x14ac:dyDescent="0.25">
      <c r="A9" s="10" t="s">
        <v>60</v>
      </c>
      <c r="B9" s="10" t="s">
        <v>61</v>
      </c>
      <c r="C9" s="13">
        <f>_xll.BDH("ALNY US Equity","IS_COGS_TO_FE_AND_PP_AND_G","FQ1 2019","FQ1 2019","Currency=USD","Period=FQ","BEST_FPERIOD_OVERRIDE=FQ","FILING_STATUS=MR","SCALING_FORMAT=MLN","FA_ADJUSTED=Adjusted","Sort=A","Dates=H","DateFormat=P","Fill=—","Direction=H","UseDPDF=Y")</f>
        <v>3.347</v>
      </c>
      <c r="D9" s="13">
        <f>_xll.BDH("ALNY US Equity","IS_COGS_TO_FE_AND_PP_AND_G","FQ2 2019","FQ2 2019","Currency=USD","Period=FQ","BEST_FPERIOD_OVERRIDE=FQ","FILING_STATUS=MR","SCALING_FORMAT=MLN","FA_ADJUSTED=Adjusted","Sort=A","Dates=H","DateFormat=P","Fill=—","Direction=H","UseDPDF=Y")</f>
        <v>4.3259999999999996</v>
      </c>
      <c r="E9" s="13">
        <f>_xll.BDH("ALNY US Equity","IS_COGS_TO_FE_AND_PP_AND_G","FQ3 2019","FQ3 2019","Currency=USD","Period=FQ","BEST_FPERIOD_OVERRIDE=FQ","FILING_STATUS=MR","SCALING_FORMAT=MLN","FA_ADJUSTED=Adjusted","Sort=A","Dates=H","DateFormat=P","Fill=—","Direction=H","UseDPDF=Y")</f>
        <v>5.2130000000000001</v>
      </c>
      <c r="F9" s="13">
        <f>_xll.BDH("ALNY US Equity","IS_COGS_TO_FE_AND_PP_AND_G","FQ4 2019","FQ4 2019","Currency=USD","Period=FQ","BEST_FPERIOD_OVERRIDE=FQ","FILING_STATUS=MR","SCALING_FORMAT=MLN","FA_ADJUSTED=Adjusted","Sort=A","Dates=H","DateFormat=P","Fill=—","Direction=H","UseDPDF=Y")</f>
        <v>12.176</v>
      </c>
      <c r="G9" s="13">
        <f>_xll.BDH("ALNY US Equity","IS_COGS_TO_FE_AND_PP_AND_G","FQ1 2020","FQ1 2020","Currency=USD","Period=FQ","BEST_FPERIOD_OVERRIDE=FQ","FILING_STATUS=MR","SCALING_FORMAT=MLN","FA_ADJUSTED=Adjusted","Sort=A","Dates=H","DateFormat=P","Fill=—","Direction=H","UseDPDF=Y")</f>
        <v>13.302</v>
      </c>
      <c r="H9" s="13">
        <f>_xll.BDH("ALNY US Equity","IS_COGS_TO_FE_AND_PP_AND_G","FQ2 2020","FQ2 2020","Currency=USD","Period=FQ","BEST_FPERIOD_OVERRIDE=FQ","FILING_STATUS=MR","SCALING_FORMAT=MLN","FA_ADJUSTED=Adjusted","Sort=A","Dates=H","DateFormat=P","Fill=—","Direction=H","UseDPDF=Y")</f>
        <v>19.928999999999998</v>
      </c>
      <c r="I9" s="13">
        <f>_xll.BDH("ALNY US Equity","IS_COGS_TO_FE_AND_PP_AND_G","FQ3 2020","FQ3 2020","Currency=USD","Period=FQ","BEST_FPERIOD_OVERRIDE=FQ","FILING_STATUS=MR","SCALING_FORMAT=MLN","FA_ADJUSTED=Adjusted","Sort=A","Dates=H","DateFormat=P","Fill=—","Direction=H","UseDPDF=Y")</f>
        <v>21.797000000000001</v>
      </c>
      <c r="J9" s="13">
        <f>_xll.BDH("ALNY US Equity","IS_COGS_TO_FE_AND_PP_AND_G","FQ4 2020","FQ4 2020","Currency=USD","Period=FQ","BEST_FPERIOD_OVERRIDE=FQ","FILING_STATUS=MR","SCALING_FORMAT=MLN","FA_ADJUSTED=Adjusted","Sort=A","Dates=H","DateFormat=P","Fill=—","Direction=H","UseDPDF=Y")</f>
        <v>23.024000000000001</v>
      </c>
      <c r="K9" s="13">
        <f>_xll.BDH("ALNY US Equity","IS_COGS_TO_FE_AND_PP_AND_G","FQ1 2021","FQ1 2021","Currency=USD","Period=FQ","BEST_FPERIOD_OVERRIDE=FQ","FILING_STATUS=MR","SCALING_FORMAT=MLN","FA_ADJUSTED=Adjusted","Sort=A","Dates=H","DateFormat=P","Fill=—","Direction=H","UseDPDF=Y")</f>
        <v>31.062000000000001</v>
      </c>
      <c r="L9" s="13">
        <f>_xll.BDH("ALNY US Equity","IS_COGS_TO_FE_AND_PP_AND_G","FQ2 2021","FQ2 2021","Currency=USD","Period=FQ","BEST_FPERIOD_OVERRIDE=FQ","FILING_STATUS=MR","SCALING_FORMAT=MLN","FA_ADJUSTED=Adjusted","Sort=A","Dates=H","DateFormat=P","Fill=—","Direction=H","UseDPDF=Y")</f>
        <v>38.755000000000003</v>
      </c>
      <c r="M9" s="13">
        <f>_xll.BDH("ALNY US Equity","IS_COGS_TO_FE_AND_PP_AND_G","FQ3 2021","FQ3 2021","Currency=USD","Period=FQ","BEST_FPERIOD_OVERRIDE=FQ","FILING_STATUS=MR","SCALING_FORMAT=MLN","FA_ADJUSTED=Adjusted","Sort=A","Dates=H","DateFormat=P","Fill=—","Direction=H","UseDPDF=Y")</f>
        <v>32.662999999999997</v>
      </c>
      <c r="N9" s="13">
        <f>_xll.BDH("ALNY US Equity","IS_COGS_TO_FE_AND_PP_AND_G","FQ4 2021","FQ4 2021","Currency=USD","Period=FQ","BEST_FPERIOD_OVERRIDE=FQ","FILING_STATUS=MR","SCALING_FORMAT=MLN","FA_ADJUSTED=Adjusted","Sort=A","Dates=H","DateFormat=P","Fill=—","Direction=H","UseDPDF=Y")</f>
        <v>37.664000000000001</v>
      </c>
      <c r="O9" s="13">
        <f>_xll.BDH("ALNY US Equity","IS_COGS_TO_FE_AND_PP_AND_G","FQ1 2022","FQ1 2022","Currency=USD","Period=FQ","BEST_FPERIOD_OVERRIDE=FQ","FILING_STATUS=MR","SCALING_FORMAT=MLN","FA_ADJUSTED=Adjusted","Sort=A","Dates=H","DateFormat=P","Fill=—","Direction=H","UseDPDF=Y")</f>
        <v>35.627000000000002</v>
      </c>
      <c r="P9" s="13">
        <f>_xll.BDH("ALNY US Equity","IS_COGS_TO_FE_AND_PP_AND_G","FQ2 2022","FQ2 2022","Currency=USD","Period=FQ","BEST_FPERIOD_OVERRIDE=FQ","FILING_STATUS=MR","SCALING_FORMAT=MLN","FA_ADJUSTED=Adjusted","Sort=A","Dates=H","DateFormat=P","Fill=—","Direction=H","UseDPDF=Y")</f>
        <v>40.808</v>
      </c>
      <c r="Q9" s="13">
        <f>_xll.BDH("ALNY US Equity","IS_COGS_TO_FE_AND_PP_AND_G","FQ3 2022","FQ3 2022","Currency=USD","Period=FQ","BEST_FPERIOD_OVERRIDE=FQ","FILING_STATUS=MR","SCALING_FORMAT=MLN","FA_ADJUSTED=Adjusted","Sort=A","Dates=H","DateFormat=P","Fill=—","Direction=H","UseDPDF=Y")</f>
        <v>41.116</v>
      </c>
      <c r="R9" s="13">
        <f>_xll.BDH("ALNY US Equity","IS_COGS_TO_FE_AND_PP_AND_G","FQ4 2022","FQ4 2022","Currency=USD","Period=FQ","BEST_FPERIOD_OVERRIDE=FQ","FILING_STATUS=MR","SCALING_FORMAT=MLN","FA_ADJUSTED=Adjusted","Sort=A","Dates=H","DateFormat=P","Fill=—","Direction=H","UseDPDF=Y")</f>
        <v>51.265999999999998</v>
      </c>
      <c r="S9" s="13">
        <f>_xll.BDH("ALNY US Equity","IS_COGS_TO_FE_AND_PP_AND_G","FQ1 2023","FQ1 2023","Currency=USD","Period=FQ","BEST_FPERIOD_OVERRIDE=FQ","FILING_STATUS=MR","SCALING_FORMAT=MLN","FA_ADJUSTED=Adjusted","Sort=A","Dates=H","DateFormat=P","Fill=—","Direction=H","UseDPDF=Y")</f>
        <v>54.869</v>
      </c>
      <c r="T9" s="13">
        <f>_xll.BDH("ALNY US Equity","IS_COGS_TO_FE_AND_PP_AND_G","FQ2 2023","FQ2 2023","Currency=USD","Period=FQ","BEST_FPERIOD_OVERRIDE=FQ","FILING_STATUS=MR","SCALING_FORMAT=MLN","FA_ADJUSTED=Adjusted","Sort=A","Dates=H","DateFormat=P","Fill=—","Direction=H","UseDPDF=Y")</f>
        <v>85.37</v>
      </c>
      <c r="U9" s="13">
        <f>_xll.BDH("ALNY US Equity","IS_COGS_TO_FE_AND_PP_AND_G","FQ3 2023","FQ3 2023","Currency=USD","Period=FQ","BEST_FPERIOD_OVERRIDE=FQ","FILING_STATUS=MR","SCALING_FORMAT=MLN","FA_ADJUSTED=Adjusted","Sort=A","Dates=H","DateFormat=P","Fill=—","Direction=H","UseDPDF=Y")</f>
        <v>84.308999999999997</v>
      </c>
      <c r="V9" s="13">
        <f>_xll.BDH("ALNY US Equity","IS_COGS_TO_FE_AND_PP_AND_G","FQ4 2023","FQ4 2023","Currency=USD","Period=FQ","BEST_FPERIOD_OVERRIDE=FQ","FILING_STATUS=MR","SCALING_FORMAT=MLN","FA_ADJUSTED=Adjusted","Sort=A","Dates=H","DateFormat=P","Fill=—","Direction=H","UseDPDF=Y")</f>
        <v>85.858000000000004</v>
      </c>
      <c r="W9" s="13">
        <f>_xll.BDH("ALNY US Equity","IS_COGS_TO_FE_AND_PP_AND_G","FQ1 2024","FQ1 2024","Currency=USD","Period=FQ","BEST_FPERIOD_OVERRIDE=FQ","FILING_STATUS=MR","SCALING_FORMAT=MLN","FA_ADJUSTED=Adjusted","Sort=A","Dates=H","DateFormat=P","Fill=—","Direction=H","UseDPDF=Y")</f>
        <v>65.975999999999999</v>
      </c>
      <c r="X9" s="13">
        <f>_xll.BDH("ALNY US Equity","IS_COGS_TO_FE_AND_PP_AND_G","FQ2 2024","FQ2 2024","Currency=USD","Period=FQ","BEST_FPERIOD_OVERRIDE=FQ","FILING_STATUS=MR","SCALING_FORMAT=MLN","FA_ADJUSTED=Adjusted","Sort=A","Dates=H","DateFormat=P","Fill=—","Direction=H","UseDPDF=Y")</f>
        <v>68.671999999999997</v>
      </c>
      <c r="Y9" s="13">
        <f>_xll.BDH("ALNY US Equity","IS_COGS_TO_FE_AND_PP_AND_G","FQ3 2024","FQ3 2024","Currency=USD","Period=FQ","BEST_FPERIOD_OVERRIDE=FQ","FILING_STATUS=MR","SCALING_FORMAT=MLN","FA_ADJUSTED=Adjusted","Sort=A","Dates=H","DateFormat=P","Fill=—","Direction=H","UseDPDF=Y")</f>
        <v>85.905000000000001</v>
      </c>
      <c r="Z9" s="13">
        <f>_xll.BDH("ALNY US Equity","IS_COGS_TO_FE_AND_PP_AND_G","FQ4 2024","FQ4 2024","Currency=USD","Period=FQ","BEST_FPERIOD_OVERRIDE=FQ","FILING_STATUS=MR","SCALING_FORMAT=MLN","FA_ADJUSTED=Adjusted","Sort=A","Dates=H","DateFormat=P","Fill=—","Direction=H","UseDPDF=Y")</f>
        <v>102.81699999999999</v>
      </c>
    </row>
    <row r="10" spans="1:26" x14ac:dyDescent="0.25">
      <c r="A10" s="10" t="s">
        <v>62</v>
      </c>
      <c r="B10" s="10" t="s">
        <v>63</v>
      </c>
      <c r="C10" s="13">
        <f>_xll.BDH("ALNY US Equity","IS_COG_AND_SERVICES_SOLD","FQ1 2019","FQ1 2019","Currency=USD","Period=FQ","BEST_FPERIOD_OVERRIDE=FQ","FILING_STATUS=MR","SCALING_FORMAT=MLN","FA_ADJUSTED=Adjusted","Sort=A","Dates=H","DateFormat=P","Fill=—","Direction=H","UseDPDF=Y")</f>
        <v>3.347</v>
      </c>
      <c r="D10" s="13">
        <f>_xll.BDH("ALNY US Equity","IS_COG_AND_SERVICES_SOLD","FQ2 2019","FQ2 2019","Currency=USD","Period=FQ","BEST_FPERIOD_OVERRIDE=FQ","FILING_STATUS=MR","SCALING_FORMAT=MLN","FA_ADJUSTED=Adjusted","Sort=A","Dates=H","DateFormat=P","Fill=—","Direction=H","UseDPDF=Y")</f>
        <v>4.3259999999999996</v>
      </c>
      <c r="E10" s="13">
        <f>_xll.BDH("ALNY US Equity","IS_COG_AND_SERVICES_SOLD","FQ3 2019","FQ3 2019","Currency=USD","Period=FQ","BEST_FPERIOD_OVERRIDE=FQ","FILING_STATUS=MR","SCALING_FORMAT=MLN","FA_ADJUSTED=Adjusted","Sort=A","Dates=H","DateFormat=P","Fill=—","Direction=H","UseDPDF=Y")</f>
        <v>5.2130000000000001</v>
      </c>
      <c r="F10" s="13">
        <f>_xll.BDH("ALNY US Equity","IS_COG_AND_SERVICES_SOLD","FQ4 2019","FQ4 2019","Currency=USD","Period=FQ","BEST_FPERIOD_OVERRIDE=FQ","FILING_STATUS=MR","SCALING_FORMAT=MLN","FA_ADJUSTED=Adjusted","Sort=A","Dates=H","DateFormat=P","Fill=—","Direction=H","UseDPDF=Y")</f>
        <v>12.176</v>
      </c>
      <c r="G10" s="13">
        <f>_xll.BDH("ALNY US Equity","IS_COG_AND_SERVICES_SOLD","FQ1 2020","FQ1 2020","Currency=USD","Period=FQ","BEST_FPERIOD_OVERRIDE=FQ","FILING_STATUS=MR","SCALING_FORMAT=MLN","FA_ADJUSTED=Adjusted","Sort=A","Dates=H","DateFormat=P","Fill=—","Direction=H","UseDPDF=Y")</f>
        <v>13.302</v>
      </c>
      <c r="H10" s="13">
        <f>_xll.BDH("ALNY US Equity","IS_COG_AND_SERVICES_SOLD","FQ2 2020","FQ2 2020","Currency=USD","Period=FQ","BEST_FPERIOD_OVERRIDE=FQ","FILING_STATUS=MR","SCALING_FORMAT=MLN","FA_ADJUSTED=Adjusted","Sort=A","Dates=H","DateFormat=P","Fill=—","Direction=H","UseDPDF=Y")</f>
        <v>19.928999999999998</v>
      </c>
      <c r="I10" s="13">
        <f>_xll.BDH("ALNY US Equity","IS_COG_AND_SERVICES_SOLD","FQ3 2020","FQ3 2020","Currency=USD","Period=FQ","BEST_FPERIOD_OVERRIDE=FQ","FILING_STATUS=MR","SCALING_FORMAT=MLN","FA_ADJUSTED=Adjusted","Sort=A","Dates=H","DateFormat=P","Fill=—","Direction=H","UseDPDF=Y")</f>
        <v>21.797000000000001</v>
      </c>
      <c r="J10" s="13">
        <f>_xll.BDH("ALNY US Equity","IS_COG_AND_SERVICES_SOLD","FQ4 2020","FQ4 2020","Currency=USD","Period=FQ","BEST_FPERIOD_OVERRIDE=FQ","FILING_STATUS=MR","SCALING_FORMAT=MLN","FA_ADJUSTED=Adjusted","Sort=A","Dates=H","DateFormat=P","Fill=—","Direction=H","UseDPDF=Y")</f>
        <v>23.024000000000001</v>
      </c>
      <c r="K10" s="13">
        <f>_xll.BDH("ALNY US Equity","IS_COG_AND_SERVICES_SOLD","FQ1 2021","FQ1 2021","Currency=USD","Period=FQ","BEST_FPERIOD_OVERRIDE=FQ","FILING_STATUS=MR","SCALING_FORMAT=MLN","FA_ADJUSTED=Adjusted","Sort=A","Dates=H","DateFormat=P","Fill=—","Direction=H","UseDPDF=Y")</f>
        <v>31.062000000000001</v>
      </c>
      <c r="L10" s="13">
        <f>_xll.BDH("ALNY US Equity","IS_COG_AND_SERVICES_SOLD","FQ2 2021","FQ2 2021","Currency=USD","Period=FQ","BEST_FPERIOD_OVERRIDE=FQ","FILING_STATUS=MR","SCALING_FORMAT=MLN","FA_ADJUSTED=Adjusted","Sort=A","Dates=H","DateFormat=P","Fill=—","Direction=H","UseDPDF=Y")</f>
        <v>38.755000000000003</v>
      </c>
      <c r="M10" s="13">
        <f>_xll.BDH("ALNY US Equity","IS_COG_AND_SERVICES_SOLD","FQ3 2021","FQ3 2021","Currency=USD","Period=FQ","BEST_FPERIOD_OVERRIDE=FQ","FILING_STATUS=MR","SCALING_FORMAT=MLN","FA_ADJUSTED=Adjusted","Sort=A","Dates=H","DateFormat=P","Fill=—","Direction=H","UseDPDF=Y")</f>
        <v>32.662999999999997</v>
      </c>
      <c r="N10" s="13">
        <f>_xll.BDH("ALNY US Equity","IS_COG_AND_SERVICES_SOLD","FQ4 2021","FQ4 2021","Currency=USD","Period=FQ","BEST_FPERIOD_OVERRIDE=FQ","FILING_STATUS=MR","SCALING_FORMAT=MLN","FA_ADJUSTED=Adjusted","Sort=A","Dates=H","DateFormat=P","Fill=—","Direction=H","UseDPDF=Y")</f>
        <v>37.664000000000001</v>
      </c>
      <c r="O10" s="13">
        <f>_xll.BDH("ALNY US Equity","IS_COG_AND_SERVICES_SOLD","FQ1 2022","FQ1 2022","Currency=USD","Period=FQ","BEST_FPERIOD_OVERRIDE=FQ","FILING_STATUS=MR","SCALING_FORMAT=MLN","FA_ADJUSTED=Adjusted","Sort=A","Dates=H","DateFormat=P","Fill=—","Direction=H","UseDPDF=Y")</f>
        <v>35.627000000000002</v>
      </c>
      <c r="P10" s="13">
        <f>_xll.BDH("ALNY US Equity","IS_COG_AND_SERVICES_SOLD","FQ2 2022","FQ2 2022","Currency=USD","Period=FQ","BEST_FPERIOD_OVERRIDE=FQ","FILING_STATUS=MR","SCALING_FORMAT=MLN","FA_ADJUSTED=Adjusted","Sort=A","Dates=H","DateFormat=P","Fill=—","Direction=H","UseDPDF=Y")</f>
        <v>40.808</v>
      </c>
      <c r="Q10" s="13">
        <f>_xll.BDH("ALNY US Equity","IS_COG_AND_SERVICES_SOLD","FQ3 2022","FQ3 2022","Currency=USD","Period=FQ","BEST_FPERIOD_OVERRIDE=FQ","FILING_STATUS=MR","SCALING_FORMAT=MLN","FA_ADJUSTED=Adjusted","Sort=A","Dates=H","DateFormat=P","Fill=—","Direction=H","UseDPDF=Y")</f>
        <v>41.116</v>
      </c>
      <c r="R10" s="13">
        <f>_xll.BDH("ALNY US Equity","IS_COG_AND_SERVICES_SOLD","FQ4 2022","FQ4 2022","Currency=USD","Period=FQ","BEST_FPERIOD_OVERRIDE=FQ","FILING_STATUS=MR","SCALING_FORMAT=MLN","FA_ADJUSTED=Adjusted","Sort=A","Dates=H","DateFormat=P","Fill=—","Direction=H","UseDPDF=Y")</f>
        <v>51.265999999999998</v>
      </c>
      <c r="S10" s="13">
        <f>_xll.BDH("ALNY US Equity","IS_COG_AND_SERVICES_SOLD","FQ1 2023","FQ1 2023","Currency=USD","Period=FQ","BEST_FPERIOD_OVERRIDE=FQ","FILING_STATUS=MR","SCALING_FORMAT=MLN","FA_ADJUSTED=Adjusted","Sort=A","Dates=H","DateFormat=P","Fill=—","Direction=H","UseDPDF=Y")</f>
        <v>54.869</v>
      </c>
      <c r="T10" s="13">
        <f>_xll.BDH("ALNY US Equity","IS_COG_AND_SERVICES_SOLD","FQ2 2023","FQ2 2023","Currency=USD","Period=FQ","BEST_FPERIOD_OVERRIDE=FQ","FILING_STATUS=MR","SCALING_FORMAT=MLN","FA_ADJUSTED=Adjusted","Sort=A","Dates=H","DateFormat=P","Fill=—","Direction=H","UseDPDF=Y")</f>
        <v>85.37</v>
      </c>
      <c r="U10" s="13">
        <f>_xll.BDH("ALNY US Equity","IS_COG_AND_SERVICES_SOLD","FQ3 2023","FQ3 2023","Currency=USD","Period=FQ","BEST_FPERIOD_OVERRIDE=FQ","FILING_STATUS=MR","SCALING_FORMAT=MLN","FA_ADJUSTED=Adjusted","Sort=A","Dates=H","DateFormat=P","Fill=—","Direction=H","UseDPDF=Y")</f>
        <v>84.308999999999997</v>
      </c>
      <c r="V10" s="13">
        <f>_xll.BDH("ALNY US Equity","IS_COG_AND_SERVICES_SOLD","FQ4 2023","FQ4 2023","Currency=USD","Period=FQ","BEST_FPERIOD_OVERRIDE=FQ","FILING_STATUS=MR","SCALING_FORMAT=MLN","FA_ADJUSTED=Adjusted","Sort=A","Dates=H","DateFormat=P","Fill=—","Direction=H","UseDPDF=Y")</f>
        <v>85.858000000000004</v>
      </c>
      <c r="W10" s="13">
        <f>_xll.BDH("ALNY US Equity","IS_COG_AND_SERVICES_SOLD","FQ1 2024","FQ1 2024","Currency=USD","Period=FQ","BEST_FPERIOD_OVERRIDE=FQ","FILING_STATUS=MR","SCALING_FORMAT=MLN","FA_ADJUSTED=Adjusted","Sort=A","Dates=H","DateFormat=P","Fill=—","Direction=H","UseDPDF=Y")</f>
        <v>65.975999999999999</v>
      </c>
      <c r="X10" s="13">
        <f>_xll.BDH("ALNY US Equity","IS_COG_AND_SERVICES_SOLD","FQ2 2024","FQ2 2024","Currency=USD","Period=FQ","BEST_FPERIOD_OVERRIDE=FQ","FILING_STATUS=MR","SCALING_FORMAT=MLN","FA_ADJUSTED=Adjusted","Sort=A","Dates=H","DateFormat=P","Fill=—","Direction=H","UseDPDF=Y")</f>
        <v>68.671999999999997</v>
      </c>
      <c r="Y10" s="13">
        <f>_xll.BDH("ALNY US Equity","IS_COG_AND_SERVICES_SOLD","FQ3 2024","FQ3 2024","Currency=USD","Period=FQ","BEST_FPERIOD_OVERRIDE=FQ","FILING_STATUS=MR","SCALING_FORMAT=MLN","FA_ADJUSTED=Adjusted","Sort=A","Dates=H","DateFormat=P","Fill=—","Direction=H","UseDPDF=Y")</f>
        <v>85.905000000000001</v>
      </c>
      <c r="Z10" s="13">
        <f>_xll.BDH("ALNY US Equity","IS_COG_AND_SERVICES_SOLD","FQ4 2024","FQ4 2024","Currency=USD","Period=FQ","BEST_FPERIOD_OVERRIDE=FQ","FILING_STATUS=MR","SCALING_FORMAT=MLN","FA_ADJUSTED=Adjusted","Sort=A","Dates=H","DateFormat=P","Fill=—","Direction=H","UseDPDF=Y")</f>
        <v>102.81699999999999</v>
      </c>
    </row>
    <row r="11" spans="1:26" x14ac:dyDescent="0.25">
      <c r="A11" s="6" t="s">
        <v>1</v>
      </c>
      <c r="B11" s="6" t="s">
        <v>64</v>
      </c>
      <c r="C11" s="16">
        <f>_xll.BDH("ALNY US Equity","GROSS_PROFIT","FQ1 2019","FQ1 2019","Currency=USD","Period=FQ","BEST_FPERIOD_OVERRIDE=FQ","FILING_STATUS=MR","SCALING_FORMAT=MLN","FA_ADJUSTED=Adjusted","Sort=A","Dates=H","DateFormat=P","Fill=—","Direction=H","UseDPDF=Y")</f>
        <v>29.946999999999999</v>
      </c>
      <c r="D11" s="16">
        <f>_xll.BDH("ALNY US Equity","GROSS_PROFIT","FQ2 2019","FQ2 2019","Currency=USD","Period=FQ","BEST_FPERIOD_OVERRIDE=FQ","FILING_STATUS=MR","SCALING_FORMAT=MLN","FA_ADJUSTED=Adjusted","Sort=A","Dates=H","DateFormat=P","Fill=—","Direction=H","UseDPDF=Y")</f>
        <v>40.387999999999998</v>
      </c>
      <c r="E11" s="16">
        <f>_xll.BDH("ALNY US Equity","GROSS_PROFIT","FQ3 2019","FQ3 2019","Currency=USD","Period=FQ","BEST_FPERIOD_OVERRIDE=FQ","FILING_STATUS=MR","SCALING_FORMAT=MLN","FA_ADJUSTED=Adjusted","Sort=A","Dates=H","DateFormat=P","Fill=—","Direction=H","UseDPDF=Y")</f>
        <v>64.847999999999999</v>
      </c>
      <c r="F11" s="16">
        <f>_xll.BDH("ALNY US Equity","GROSS_PROFIT","FQ4 2019","FQ4 2019","Currency=USD","Period=FQ","BEST_FPERIOD_OVERRIDE=FQ","FILING_STATUS=MR","SCALING_FORMAT=MLN","FA_ADJUSTED=Adjusted","Sort=A","Dates=H","DateFormat=P","Fill=—","Direction=H","UseDPDF=Y")</f>
        <v>59.505000000000003</v>
      </c>
      <c r="G11" s="16">
        <f>_xll.BDH("ALNY US Equity","GROSS_PROFIT","FQ1 2020","FQ1 2020","Currency=USD","Period=FQ","BEST_FPERIOD_OVERRIDE=FQ","FILING_STATUS=MR","SCALING_FORMAT=MLN","FA_ADJUSTED=Adjusted","Sort=A","Dates=H","DateFormat=P","Fill=—","Direction=H","UseDPDF=Y")</f>
        <v>86.174000000000007</v>
      </c>
      <c r="H11" s="16">
        <f>_xll.BDH("ALNY US Equity","GROSS_PROFIT","FQ2 2020","FQ2 2020","Currency=USD","Period=FQ","BEST_FPERIOD_OVERRIDE=FQ","FILING_STATUS=MR","SCALING_FORMAT=MLN","FA_ADJUSTED=Adjusted","Sort=A","Dates=H","DateFormat=P","Fill=—","Direction=H","UseDPDF=Y")</f>
        <v>84.033000000000001</v>
      </c>
      <c r="I11" s="16">
        <f>_xll.BDH("ALNY US Equity","GROSS_PROFIT","FQ3 2020","FQ3 2020","Currency=USD","Period=FQ","BEST_FPERIOD_OVERRIDE=FQ","FILING_STATUS=MR","SCALING_FORMAT=MLN","FA_ADJUSTED=Adjusted","Sort=A","Dates=H","DateFormat=P","Fill=—","Direction=H","UseDPDF=Y")</f>
        <v>104.056</v>
      </c>
      <c r="J11" s="16">
        <f>_xll.BDH("ALNY US Equity","GROSS_PROFIT","FQ4 2020","FQ4 2020","Currency=USD","Period=FQ","BEST_FPERIOD_OVERRIDE=FQ","FILING_STATUS=MR","SCALING_FORMAT=MLN","FA_ADJUSTED=Adjusted","Sort=A","Dates=H","DateFormat=P","Fill=—","Direction=H","UseDPDF=Y")</f>
        <v>140.53800000000001</v>
      </c>
      <c r="K11" s="16">
        <f>_xll.BDH("ALNY US Equity","GROSS_PROFIT","FQ1 2021","FQ1 2021","Currency=USD","Period=FQ","BEST_FPERIOD_OVERRIDE=FQ","FILING_STATUS=MR","SCALING_FORMAT=MLN","FA_ADJUSTED=Adjusted","Sort=A","Dates=H","DateFormat=P","Fill=—","Direction=H","UseDPDF=Y")</f>
        <v>146.50399999999999</v>
      </c>
      <c r="L11" s="16">
        <f>_xll.BDH("ALNY US Equity","GROSS_PROFIT","FQ2 2021","FQ2 2021","Currency=USD","Period=FQ","BEST_FPERIOD_OVERRIDE=FQ","FILING_STATUS=MR","SCALING_FORMAT=MLN","FA_ADJUSTED=Adjusted","Sort=A","Dates=H","DateFormat=P","Fill=—","Direction=H","UseDPDF=Y")</f>
        <v>181.798</v>
      </c>
      <c r="M11" s="16">
        <f>_xll.BDH("ALNY US Equity","GROSS_PROFIT","FQ3 2021","FQ3 2021","Currency=USD","Period=FQ","BEST_FPERIOD_OVERRIDE=FQ","FILING_STATUS=MR","SCALING_FORMAT=MLN","FA_ADJUSTED=Adjusted","Sort=A","Dates=H","DateFormat=P","Fill=—","Direction=H","UseDPDF=Y")</f>
        <v>154.97</v>
      </c>
      <c r="N11" s="16">
        <f>_xll.BDH("ALNY US Equity","GROSS_PROFIT","FQ4 2021","FQ4 2021","Currency=USD","Period=FQ","BEST_FPERIOD_OVERRIDE=FQ","FILING_STATUS=MR","SCALING_FORMAT=MLN","FA_ADJUSTED=Adjusted","Sort=A","Dates=H","DateFormat=P","Fill=—","Direction=H","UseDPDF=Y")</f>
        <v>220.87100000000001</v>
      </c>
      <c r="O11" s="16">
        <f>_xll.BDH("ALNY US Equity","GROSS_PROFIT","FQ1 2022","FQ1 2022","Currency=USD","Period=FQ","BEST_FPERIOD_OVERRIDE=FQ","FILING_STATUS=MR","SCALING_FORMAT=MLN","FA_ADJUSTED=Adjusted","Sort=A","Dates=H","DateFormat=P","Fill=—","Direction=H","UseDPDF=Y")</f>
        <v>177.63200000000001</v>
      </c>
      <c r="P11" s="16">
        <f>_xll.BDH("ALNY US Equity","GROSS_PROFIT","FQ2 2022","FQ2 2022","Currency=USD","Period=FQ","BEST_FPERIOD_OVERRIDE=FQ","FILING_STATUS=MR","SCALING_FORMAT=MLN","FA_ADJUSTED=Adjusted","Sort=A","Dates=H","DateFormat=P","Fill=—","Direction=H","UseDPDF=Y")</f>
        <v>184.01</v>
      </c>
      <c r="Q11" s="16">
        <f>_xll.BDH("ALNY US Equity","GROSS_PROFIT","FQ3 2022","FQ3 2022","Currency=USD","Period=FQ","BEST_FPERIOD_OVERRIDE=FQ","FILING_STATUS=MR","SCALING_FORMAT=MLN","FA_ADJUSTED=Adjusted","Sort=A","Dates=H","DateFormat=P","Fill=—","Direction=H","UseDPDF=Y")</f>
        <v>223.19</v>
      </c>
      <c r="R11" s="16">
        <f>_xll.BDH("ALNY US Equity","GROSS_PROFIT","FQ4 2022","FQ4 2022","Currency=USD","Period=FQ","BEST_FPERIOD_OVERRIDE=FQ","FILING_STATUS=MR","SCALING_FORMAT=MLN","FA_ADJUSTED=Adjusted","Sort=A","Dates=H","DateFormat=P","Fill=—","Direction=H","UseDPDF=Y")</f>
        <v>283.76900000000001</v>
      </c>
      <c r="S11" s="16">
        <f>_xll.BDH("ALNY US Equity","GROSS_PROFIT","FQ1 2023","FQ1 2023","Currency=USD","Period=FQ","BEST_FPERIOD_OVERRIDE=FQ","FILING_STATUS=MR","SCALING_FORMAT=MLN","FA_ADJUSTED=Adjusted","Sort=A","Dates=H","DateFormat=P","Fill=—","Direction=H","UseDPDF=Y")</f>
        <v>264.42099999999999</v>
      </c>
      <c r="T11" s="16">
        <f>_xll.BDH("ALNY US Equity","GROSS_PROFIT","FQ2 2023","FQ2 2023","Currency=USD","Period=FQ","BEST_FPERIOD_OVERRIDE=FQ","FILING_STATUS=MR","SCALING_FORMAT=MLN","FA_ADJUSTED=Adjusted","Sort=A","Dates=H","DateFormat=P","Fill=—","Direction=H","UseDPDF=Y")</f>
        <v>233.38399999999999</v>
      </c>
      <c r="U11" s="16">
        <f>_xll.BDH("ALNY US Equity","GROSS_PROFIT","FQ3 2023","FQ3 2023","Currency=USD","Period=FQ","BEST_FPERIOD_OVERRIDE=FQ","FILING_STATUS=MR","SCALING_FORMAT=MLN","FA_ADJUSTED=Adjusted","Sort=A","Dates=H","DateFormat=P","Fill=—","Direction=H","UseDPDF=Y")</f>
        <v>666.221</v>
      </c>
      <c r="V11" s="16">
        <f>_xll.BDH("ALNY US Equity","GROSS_PROFIT","FQ4 2023","FQ4 2023","Currency=USD","Period=FQ","BEST_FPERIOD_OVERRIDE=FQ","FILING_STATUS=MR","SCALING_FORMAT=MLN","FA_ADJUSTED=Adjusted","Sort=A","Dates=H","DateFormat=P","Fill=—","Direction=H","UseDPDF=Y")</f>
        <v>353.86</v>
      </c>
      <c r="W11" s="16">
        <f>_xll.BDH("ALNY US Equity","GROSS_PROFIT","FQ1 2024","FQ1 2024","Currency=USD","Period=FQ","BEST_FPERIOD_OVERRIDE=FQ","FILING_STATUS=MR","SCALING_FORMAT=MLN","FA_ADJUSTED=Adjusted","Sort=A","Dates=H","DateFormat=P","Fill=—","Direction=H","UseDPDF=Y")</f>
        <v>428.35700000000003</v>
      </c>
      <c r="X11" s="16">
        <f>_xll.BDH("ALNY US Equity","GROSS_PROFIT","FQ2 2024","FQ2 2024","Currency=USD","Period=FQ","BEST_FPERIOD_OVERRIDE=FQ","FILING_STATUS=MR","SCALING_FORMAT=MLN","FA_ADJUSTED=Adjusted","Sort=A","Dates=H","DateFormat=P","Fill=—","Direction=H","UseDPDF=Y")</f>
        <v>591.15300000000002</v>
      </c>
      <c r="Y11" s="16">
        <f>_xll.BDH("ALNY US Equity","GROSS_PROFIT","FQ3 2024","FQ3 2024","Currency=USD","Period=FQ","BEST_FPERIOD_OVERRIDE=FQ","FILING_STATUS=MR","SCALING_FORMAT=MLN","FA_ADJUSTED=Adjusted","Sort=A","Dates=H","DateFormat=P","Fill=—","Direction=H","UseDPDF=Y")</f>
        <v>415.01400000000001</v>
      </c>
      <c r="Z11" s="16">
        <f>_xll.BDH("ALNY US Equity","GROSS_PROFIT","FQ4 2024","FQ4 2024","Currency=USD","Period=FQ","BEST_FPERIOD_OVERRIDE=FQ","FILING_STATUS=MR","SCALING_FORMAT=MLN","FA_ADJUSTED=Adjusted","Sort=A","Dates=H","DateFormat=P","Fill=—","Direction=H","UseDPDF=Y")</f>
        <v>490.34899999999999</v>
      </c>
    </row>
    <row r="12" spans="1:26" x14ac:dyDescent="0.25">
      <c r="A12" s="10" t="s">
        <v>65</v>
      </c>
      <c r="B12" s="10" t="s">
        <v>66</v>
      </c>
      <c r="C12" s="13">
        <f>_xll.BDH("ALNY US Equity","IS_OTHER_OPER_INC","FQ1 2019","FQ1 2019","Currency=USD","Period=FQ","BEST_FPERIOD_OVERRIDE=FQ","FILING_STATUS=MR","SCALING_FORMAT=MLN","FA_ADJUSTED=Adjusted","Sort=A","Dates=H","DateFormat=P","Fill=—","Direction=H","UseDPDF=Y")</f>
        <v>0</v>
      </c>
      <c r="D12" s="13">
        <f>_xll.BDH("ALNY US Equity","IS_OTHER_OPER_INC","FQ2 2019","FQ2 2019","Currency=USD","Period=FQ","BEST_FPERIOD_OVERRIDE=FQ","FILING_STATUS=MR","SCALING_FORMAT=MLN","FA_ADJUSTED=Adjusted","Sort=A","Dates=H","DateFormat=P","Fill=—","Direction=H","UseDPDF=Y")</f>
        <v>0</v>
      </c>
      <c r="E12" s="13">
        <f>_xll.BDH("ALNY US Equity","IS_OTHER_OPER_INC","FQ3 2019","FQ3 2019","Currency=USD","Period=FQ","BEST_FPERIOD_OVERRIDE=FQ","FILING_STATUS=MR","SCALING_FORMAT=MLN","FA_ADJUSTED=Adjusted","Sort=A","Dates=H","DateFormat=P","Fill=—","Direction=H","UseDPDF=Y")</f>
        <v>0</v>
      </c>
      <c r="F12" s="13">
        <f>_xll.BDH("ALNY US Equity","IS_OTHER_OPER_INC","FQ4 2019","FQ4 2019","Currency=USD","Period=FQ","BEST_FPERIOD_OVERRIDE=FQ","FILING_STATUS=MR","SCALING_FORMAT=MLN","FA_ADJUSTED=Adjusted","Sort=A","Dates=H","DateFormat=P","Fill=—","Direction=H","UseDPDF=Y")</f>
        <v>0</v>
      </c>
      <c r="G12" s="13">
        <f>_xll.BDH("ALNY US Equity","IS_OTHER_OPER_INC","FQ1 2020","FQ1 2020","Currency=USD","Period=FQ","BEST_FPERIOD_OVERRIDE=FQ","FILING_STATUS=MR","SCALING_FORMAT=MLN","FA_ADJUSTED=Adjusted","Sort=A","Dates=H","DateFormat=P","Fill=—","Direction=H","UseDPDF=Y")</f>
        <v>0</v>
      </c>
      <c r="H12" s="13">
        <f>_xll.BDH("ALNY US Equity","IS_OTHER_OPER_INC","FQ2 2020","FQ2 2020","Currency=USD","Period=FQ","BEST_FPERIOD_OVERRIDE=FQ","FILING_STATUS=MR","SCALING_FORMAT=MLN","FA_ADJUSTED=Adjusted","Sort=A","Dates=H","DateFormat=P","Fill=—","Direction=H","UseDPDF=Y")</f>
        <v>0</v>
      </c>
      <c r="I12" s="13">
        <f>_xll.BDH("ALNY US Equity","IS_OTHER_OPER_INC","FQ3 2020","FQ3 2020","Currency=USD","Period=FQ","BEST_FPERIOD_OVERRIDE=FQ","FILING_STATUS=MR","SCALING_FORMAT=MLN","FA_ADJUSTED=Adjusted","Sort=A","Dates=H","DateFormat=P","Fill=—","Direction=H","UseDPDF=Y")</f>
        <v>0</v>
      </c>
      <c r="J12" s="13">
        <f>_xll.BDH("ALNY US Equity","IS_OTHER_OPER_INC","FQ4 2020","FQ4 2020","Currency=USD","Period=FQ","BEST_FPERIOD_OVERRIDE=FQ","FILING_STATUS=MR","SCALING_FORMAT=MLN","FA_ADJUSTED=Adjusted","Sort=A","Dates=H","DateFormat=P","Fill=—","Direction=H","UseDPDF=Y")</f>
        <v>0</v>
      </c>
      <c r="K12" s="13">
        <f>_xll.BDH("ALNY US Equity","IS_OTHER_OPER_INC","FQ1 2021","FQ1 2021","Currency=USD","Period=FQ","BEST_FPERIOD_OVERRIDE=FQ","FILING_STATUS=MR","SCALING_FORMAT=MLN","FA_ADJUSTED=Adjusted","Sort=A","Dates=H","DateFormat=P","Fill=—","Direction=H","UseDPDF=Y")</f>
        <v>0</v>
      </c>
      <c r="L12" s="13">
        <f>_xll.BDH("ALNY US Equity","IS_OTHER_OPER_INC","FQ2 2021","FQ2 2021","Currency=USD","Period=FQ","BEST_FPERIOD_OVERRIDE=FQ","FILING_STATUS=MR","SCALING_FORMAT=MLN","FA_ADJUSTED=Adjusted","Sort=A","Dates=H","DateFormat=P","Fill=—","Direction=H","UseDPDF=Y")</f>
        <v>0</v>
      </c>
      <c r="M12" s="13">
        <f>_xll.BDH("ALNY US Equity","IS_OTHER_OPER_INC","FQ3 2021","FQ3 2021","Currency=USD","Period=FQ","BEST_FPERIOD_OVERRIDE=FQ","FILING_STATUS=MR","SCALING_FORMAT=MLN","FA_ADJUSTED=Adjusted","Sort=A","Dates=H","DateFormat=P","Fill=—","Direction=H","UseDPDF=Y")</f>
        <v>0</v>
      </c>
      <c r="N12" s="13">
        <f>_xll.BDH("ALNY US Equity","IS_OTHER_OPER_INC","FQ4 2021","FQ4 2021","Currency=USD","Period=FQ","BEST_FPERIOD_OVERRIDE=FQ","FILING_STATUS=MR","SCALING_FORMAT=MLN","FA_ADJUSTED=Adjusted","Sort=A","Dates=H","DateFormat=P","Fill=—","Direction=H","UseDPDF=Y")</f>
        <v>0</v>
      </c>
      <c r="O12" s="13">
        <f>_xll.BDH("ALNY US Equity","IS_OTHER_OPER_INC","FQ1 2022","FQ1 2022","Currency=USD","Period=FQ","BEST_FPERIOD_OVERRIDE=FQ","FILING_STATUS=MR","SCALING_FORMAT=MLN","FA_ADJUSTED=Adjusted","Sort=A","Dates=H","DateFormat=P","Fill=—","Direction=H","UseDPDF=Y")</f>
        <v>0</v>
      </c>
      <c r="P12" s="13">
        <f>_xll.BDH("ALNY US Equity","IS_OTHER_OPER_INC","FQ2 2022","FQ2 2022","Currency=USD","Period=FQ","BEST_FPERIOD_OVERRIDE=FQ","FILING_STATUS=MR","SCALING_FORMAT=MLN","FA_ADJUSTED=Adjusted","Sort=A","Dates=H","DateFormat=P","Fill=—","Direction=H","UseDPDF=Y")</f>
        <v>0</v>
      </c>
      <c r="Q12" s="13">
        <f>_xll.BDH("ALNY US Equity","IS_OTHER_OPER_INC","FQ3 2022","FQ3 2022","Currency=USD","Period=FQ","BEST_FPERIOD_OVERRIDE=FQ","FILING_STATUS=MR","SCALING_FORMAT=MLN","FA_ADJUSTED=Adjusted","Sort=A","Dates=H","DateFormat=P","Fill=—","Direction=H","UseDPDF=Y")</f>
        <v>0</v>
      </c>
      <c r="R12" s="13">
        <f>_xll.BDH("ALNY US Equity","IS_OTHER_OPER_INC","FQ4 2022","FQ4 2022","Currency=USD","Period=FQ","BEST_FPERIOD_OVERRIDE=FQ","FILING_STATUS=MR","SCALING_FORMAT=MLN","FA_ADJUSTED=Adjusted","Sort=A","Dates=H","DateFormat=P","Fill=—","Direction=H","UseDPDF=Y")</f>
        <v>0</v>
      </c>
      <c r="S12" s="13">
        <f>_xll.BDH("ALNY US Equity","IS_OTHER_OPER_INC","FQ1 2023","FQ1 2023","Currency=USD","Period=FQ","BEST_FPERIOD_OVERRIDE=FQ","FILING_STATUS=MR","SCALING_FORMAT=MLN","FA_ADJUSTED=Adjusted","Sort=A","Dates=H","DateFormat=P","Fill=—","Direction=H","UseDPDF=Y")</f>
        <v>0</v>
      </c>
      <c r="T12" s="13">
        <f>_xll.BDH("ALNY US Equity","IS_OTHER_OPER_INC","FQ2 2023","FQ2 2023","Currency=USD","Period=FQ","BEST_FPERIOD_OVERRIDE=FQ","FILING_STATUS=MR","SCALING_FORMAT=MLN","FA_ADJUSTED=Adjusted","Sort=A","Dates=H","DateFormat=P","Fill=—","Direction=H","UseDPDF=Y")</f>
        <v>0</v>
      </c>
      <c r="U12" s="13">
        <f>_xll.BDH("ALNY US Equity","IS_OTHER_OPER_INC","FQ3 2023","FQ3 2023","Currency=USD","Period=FQ","BEST_FPERIOD_OVERRIDE=FQ","FILING_STATUS=MR","SCALING_FORMAT=MLN","FA_ADJUSTED=Adjusted","Sort=A","Dates=H","DateFormat=P","Fill=—","Direction=H","UseDPDF=Y")</f>
        <v>0</v>
      </c>
      <c r="V12" s="13">
        <f>_xll.BDH("ALNY US Equity","IS_OTHER_OPER_INC","FQ4 2023","FQ4 2023","Currency=USD","Period=FQ","BEST_FPERIOD_OVERRIDE=FQ","FILING_STATUS=MR","SCALING_FORMAT=MLN","FA_ADJUSTED=Adjusted","Sort=A","Dates=H","DateFormat=P","Fill=—","Direction=H","UseDPDF=Y")</f>
        <v>0</v>
      </c>
      <c r="W12" s="13">
        <f>_xll.BDH("ALNY US Equity","IS_OTHER_OPER_INC","FQ1 2024","FQ1 2024","Currency=USD","Period=FQ","BEST_FPERIOD_OVERRIDE=FQ","FILING_STATUS=MR","SCALING_FORMAT=MLN","FA_ADJUSTED=Adjusted","Sort=A","Dates=H","DateFormat=P","Fill=—","Direction=H","UseDPDF=Y")</f>
        <v>0</v>
      </c>
      <c r="X12" s="13">
        <f>_xll.BDH("ALNY US Equity","IS_OTHER_OPER_INC","FQ2 2024","FQ2 2024","Currency=USD","Period=FQ","BEST_FPERIOD_OVERRIDE=FQ","FILING_STATUS=MR","SCALING_FORMAT=MLN","FA_ADJUSTED=Adjusted","Sort=A","Dates=H","DateFormat=P","Fill=—","Direction=H","UseDPDF=Y")</f>
        <v>0</v>
      </c>
      <c r="Y12" s="13">
        <f>_xll.BDH("ALNY US Equity","IS_OTHER_OPER_INC","FQ3 2024","FQ3 2024","Currency=USD","Period=FQ","BEST_FPERIOD_OVERRIDE=FQ","FILING_STATUS=MR","SCALING_FORMAT=MLN","FA_ADJUSTED=Adjusted","Sort=A","Dates=H","DateFormat=P","Fill=—","Direction=H","UseDPDF=Y")</f>
        <v>0</v>
      </c>
      <c r="Z12" s="13">
        <f>_xll.BDH("ALNY US Equity","IS_OTHER_OPER_INC","FQ4 2024","FQ4 2024","Currency=USD","Period=FQ","BEST_FPERIOD_OVERRIDE=FQ","FILING_STATUS=MR","SCALING_FORMAT=MLN","FA_ADJUSTED=Adjusted","Sort=A","Dates=H","DateFormat=P","Fill=—","Direction=H","UseDPDF=Y")</f>
        <v>0</v>
      </c>
    </row>
    <row r="13" spans="1:26" x14ac:dyDescent="0.25">
      <c r="A13" s="10" t="s">
        <v>67</v>
      </c>
      <c r="B13" s="10" t="s">
        <v>68</v>
      </c>
      <c r="C13" s="13">
        <f>_xll.BDH("ALNY US Equity","IS_OPERATING_EXPN","FQ1 2019","FQ1 2019","Currency=USD","Period=FQ","BEST_FPERIOD_OVERRIDE=FQ","FILING_STATUS=MR","SCALING_FORMAT=MLN","FA_ADJUSTED=Adjusted","Sort=A","Dates=H","DateFormat=P","Fill=—","Direction=H","UseDPDF=Y")</f>
        <v>218.73500000000001</v>
      </c>
      <c r="D13" s="13">
        <f>_xll.BDH("ALNY US Equity","IS_OPERATING_EXPN","FQ2 2019","FQ2 2019","Currency=USD","Period=FQ","BEST_FPERIOD_OVERRIDE=FQ","FILING_STATUS=MR","SCALING_FORMAT=MLN","FA_ADJUSTED=Adjusted","Sort=A","Dates=H","DateFormat=P","Fill=—","Direction=H","UseDPDF=Y")</f>
        <v>276.65899999999999</v>
      </c>
      <c r="E13" s="13">
        <f>_xll.BDH("ALNY US Equity","IS_OPERATING_EXPN","FQ3 2019","FQ3 2019","Currency=USD","Period=FQ","BEST_FPERIOD_OVERRIDE=FQ","FILING_STATUS=MR","SCALING_FORMAT=MLN","FA_ADJUSTED=Adjusted","Sort=A","Dates=H","DateFormat=P","Fill=—","Direction=H","UseDPDF=Y")</f>
        <v>281.14699999999999</v>
      </c>
      <c r="F13" s="13">
        <f>_xll.BDH("ALNY US Equity","IS_OPERATING_EXPN","FQ4 2019","FQ4 2019","Currency=USD","Period=FQ","BEST_FPERIOD_OVERRIDE=FQ","FILING_STATUS=MR","SCALING_FORMAT=MLN","FA_ADJUSTED=Adjusted","Sort=A","Dates=H","DateFormat=P","Fill=—","Direction=H","UseDPDF=Y")</f>
        <v>357.57799999999997</v>
      </c>
      <c r="G13" s="13">
        <f>_xll.BDH("ALNY US Equity","IS_OPERATING_EXPN","FQ1 2020","FQ1 2020","Currency=USD","Period=FQ","BEST_FPERIOD_OVERRIDE=FQ","FILING_STATUS=MR","SCALING_FORMAT=MLN","FA_ADJUSTED=Adjusted","Sort=A","Dates=H","DateFormat=P","Fill=—","Direction=H","UseDPDF=Y")</f>
        <v>296.33199999999999</v>
      </c>
      <c r="H13" s="13">
        <f>_xll.BDH("ALNY US Equity","IS_OPERATING_EXPN","FQ2 2020","FQ2 2020","Currency=USD","Period=FQ","BEST_FPERIOD_OVERRIDE=FQ","FILING_STATUS=MR","SCALING_FORMAT=MLN","FA_ADJUSTED=Adjusted","Sort=A","Dates=H","DateFormat=P","Fill=—","Direction=H","UseDPDF=Y")</f>
        <v>283.7047</v>
      </c>
      <c r="I13" s="13">
        <f>_xll.BDH("ALNY US Equity","IS_OPERATING_EXPN","FQ3 2020","FQ3 2020","Currency=USD","Period=FQ","BEST_FPERIOD_OVERRIDE=FQ","FILING_STATUS=MR","SCALING_FORMAT=MLN","FA_ADJUSTED=Adjusted","Sort=A","Dates=H","DateFormat=P","Fill=—","Direction=H","UseDPDF=Y")</f>
        <v>299.84199999999998</v>
      </c>
      <c r="J13" s="13">
        <f>_xll.BDH("ALNY US Equity","IS_OPERATING_EXPN","FQ4 2020","FQ4 2020","Currency=USD","Period=FQ","BEST_FPERIOD_OVERRIDE=FQ","FILING_STATUS=MR","SCALING_FORMAT=MLN","FA_ADJUSTED=Adjusted","Sort=A","Dates=H","DateFormat=P","Fill=—","Direction=H","UseDPDF=Y")</f>
        <v>324.54399999999998</v>
      </c>
      <c r="K13" s="13">
        <f>_xll.BDH("ALNY US Equity","IS_OPERATING_EXPN","FQ1 2021","FQ1 2021","Currency=USD","Period=FQ","BEST_FPERIOD_OVERRIDE=FQ","FILING_STATUS=MR","SCALING_FORMAT=MLN","FA_ADJUSTED=Adjusted","Sort=A","Dates=H","DateFormat=P","Fill=—","Direction=H","UseDPDF=Y")</f>
        <v>332.75799999999998</v>
      </c>
      <c r="L13" s="13">
        <f>_xll.BDH("ALNY US Equity","IS_OPERATING_EXPN","FQ2 2021","FQ2 2021","Currency=USD","Period=FQ","BEST_FPERIOD_OVERRIDE=FQ","FILING_STATUS=MR","SCALING_FORMAT=MLN","FA_ADJUSTED=Adjusted","Sort=A","Dates=H","DateFormat=P","Fill=—","Direction=H","UseDPDF=Y")</f>
        <v>327.95800000000003</v>
      </c>
      <c r="M13" s="13">
        <f>_xll.BDH("ALNY US Equity","IS_OPERATING_EXPN","FQ3 2021","FQ3 2021","Currency=USD","Period=FQ","BEST_FPERIOD_OVERRIDE=FQ","FILING_STATUS=MR","SCALING_FORMAT=MLN","FA_ADJUSTED=Adjusted","Sort=A","Dates=H","DateFormat=P","Fill=—","Direction=H","UseDPDF=Y")</f>
        <v>326.64699999999999</v>
      </c>
      <c r="N13" s="13">
        <f>_xll.BDH("ALNY US Equity","IS_OPERATING_EXPN","FQ4 2021","FQ4 2021","Currency=USD","Period=FQ","BEST_FPERIOD_OVERRIDE=FQ","FILING_STATUS=MR","SCALING_FORMAT=MLN","FA_ADJUSTED=Adjusted","Sort=A","Dates=H","DateFormat=P","Fill=—","Direction=H","UseDPDF=Y")</f>
        <v>415.43200000000002</v>
      </c>
      <c r="O13" s="13">
        <f>_xll.BDH("ALNY US Equity","IS_OPERATING_EXPN","FQ1 2022","FQ1 2022","Currency=USD","Period=FQ","BEST_FPERIOD_OVERRIDE=FQ","FILING_STATUS=MR","SCALING_FORMAT=MLN","FA_ADJUSTED=Adjusted","Sort=A","Dates=H","DateFormat=P","Fill=—","Direction=H","UseDPDF=Y")</f>
        <v>324.36399999999998</v>
      </c>
      <c r="P13" s="13">
        <f>_xll.BDH("ALNY US Equity","IS_OPERATING_EXPN","FQ2 2022","FQ2 2022","Currency=USD","Period=FQ","BEST_FPERIOD_OVERRIDE=FQ","FILING_STATUS=MR","SCALING_FORMAT=MLN","FA_ADJUSTED=Adjusted","Sort=A","Dates=H","DateFormat=P","Fill=—","Direction=H","UseDPDF=Y")</f>
        <v>375.69600000000003</v>
      </c>
      <c r="Q13" s="13">
        <f>_xll.BDH("ALNY US Equity","IS_OPERATING_EXPN","FQ3 2022","FQ3 2022","Currency=USD","Period=FQ","BEST_FPERIOD_OVERRIDE=FQ","FILING_STATUS=MR","SCALING_FORMAT=MLN","FA_ADJUSTED=Adjusted","Sort=A","Dates=H","DateFormat=P","Fill=—","Direction=H","UseDPDF=Y")</f>
        <v>481.23</v>
      </c>
      <c r="R13" s="13">
        <f>_xll.BDH("ALNY US Equity","IS_OPERATING_EXPN","FQ4 2022","FQ4 2022","Currency=USD","Period=FQ","BEST_FPERIOD_OVERRIDE=FQ","FILING_STATUS=MR","SCALING_FORMAT=MLN","FA_ADJUSTED=Adjusted","Sort=A","Dates=H","DateFormat=P","Fill=—","Direction=H","UseDPDF=Y")</f>
        <v>472.38299999999998</v>
      </c>
      <c r="S13" s="13">
        <f>_xll.BDH("ALNY US Equity","IS_OPERATING_EXPN","FQ1 2023","FQ1 2023","Currency=USD","Period=FQ","BEST_FPERIOD_OVERRIDE=FQ","FILING_STATUS=MR","SCALING_FORMAT=MLN","FA_ADJUSTED=Adjusted","Sort=A","Dates=H","DateFormat=P","Fill=—","Direction=H","UseDPDF=Y")</f>
        <v>414.22800000000001</v>
      </c>
      <c r="T13" s="13">
        <f>_xll.BDH("ALNY US Equity","IS_OPERATING_EXPN","FQ2 2023","FQ2 2023","Currency=USD","Period=FQ","BEST_FPERIOD_OVERRIDE=FQ","FILING_STATUS=MR","SCALING_FORMAT=MLN","FA_ADJUSTED=Adjusted","Sort=A","Dates=H","DateFormat=P","Fill=—","Direction=H","UseDPDF=Y")</f>
        <v>463.21499999999997</v>
      </c>
      <c r="U13" s="13">
        <f>_xll.BDH("ALNY US Equity","IS_OPERATING_EXPN","FQ3 2023","FQ3 2023","Currency=USD","Period=FQ","BEST_FPERIOD_OVERRIDE=FQ","FILING_STATUS=MR","SCALING_FORMAT=MLN","FA_ADJUSTED=Adjusted","Sort=A","Dates=H","DateFormat=P","Fill=—","Direction=H","UseDPDF=Y")</f>
        <v>452.35399999999998</v>
      </c>
      <c r="V13" s="13">
        <f>_xll.BDH("ALNY US Equity","IS_OPERATING_EXPN","FQ4 2023","FQ4 2023","Currency=USD","Period=FQ","BEST_FPERIOD_OVERRIDE=FQ","FILING_STATUS=MR","SCALING_FORMAT=MLN","FA_ADJUSTED=Adjusted","Sort=A","Dates=H","DateFormat=P","Fill=—","Direction=H","UseDPDF=Y")</f>
        <v>470.26400000000001</v>
      </c>
      <c r="W13" s="13">
        <f>_xll.BDH("ALNY US Equity","IS_OPERATING_EXPN","FQ1 2024","FQ1 2024","Currency=USD","Period=FQ","BEST_FPERIOD_OVERRIDE=FQ","FILING_STATUS=MR","SCALING_FORMAT=MLN","FA_ADJUSTED=Adjusted","Sort=A","Dates=H","DateFormat=P","Fill=—","Direction=H","UseDPDF=Y")</f>
        <v>471.79199999999997</v>
      </c>
      <c r="X13" s="13">
        <f>_xll.BDH("ALNY US Equity","IS_OPERATING_EXPN","FQ2 2024","FQ2 2024","Currency=USD","Period=FQ","BEST_FPERIOD_OVERRIDE=FQ","FILING_STATUS=MR","SCALING_FORMAT=MLN","FA_ADJUSTED=Adjusted","Sort=A","Dates=H","DateFormat=P","Fill=—","Direction=H","UseDPDF=Y")</f>
        <v>542.53899999999999</v>
      </c>
      <c r="Y13" s="13">
        <f>_xll.BDH("ALNY US Equity","IS_OPERATING_EXPN","FQ3 2024","FQ3 2024","Currency=USD","Period=FQ","BEST_FPERIOD_OVERRIDE=FQ","FILING_STATUS=MR","SCALING_FORMAT=MLN","FA_ADJUSTED=Adjusted","Sort=A","Dates=H","DateFormat=P","Fill=—","Direction=H","UseDPDF=Y")</f>
        <v>491.91899999999998</v>
      </c>
      <c r="Z13" s="13">
        <f>_xll.BDH("ALNY US Equity","IS_OPERATING_EXPN","FQ4 2024","FQ4 2024","Currency=USD","Period=FQ","BEST_FPERIOD_OVERRIDE=FQ","FILING_STATUS=MR","SCALING_FORMAT=MLN","FA_ADJUSTED=Adjusted","Sort=A","Dates=H","DateFormat=P","Fill=—","Direction=H","UseDPDF=Y")</f>
        <v>595.50800000000004</v>
      </c>
    </row>
    <row r="14" spans="1:26" x14ac:dyDescent="0.25">
      <c r="A14" s="10" t="s">
        <v>69</v>
      </c>
      <c r="B14" s="10" t="s">
        <v>70</v>
      </c>
      <c r="C14" s="13">
        <f>_xll.BDH("ALNY US Equity","IS_SGA_EXPENSE","FQ1 2019","FQ1 2019","Currency=USD","Period=FQ","BEST_FPERIOD_OVERRIDE=FQ","FILING_STATUS=MR","SCALING_FORMAT=MLN","FA_ADJUSTED=Adjusted","Sort=A","Dates=H","DateFormat=P","Fill=—","Direction=H","UseDPDF=Y")</f>
        <v>89.608000000000004</v>
      </c>
      <c r="D14" s="13">
        <f>_xll.BDH("ALNY US Equity","IS_SGA_EXPENSE","FQ2 2019","FQ2 2019","Currency=USD","Period=FQ","BEST_FPERIOD_OVERRIDE=FQ","FILING_STATUS=MR","SCALING_FORMAT=MLN","FA_ADJUSTED=Adjusted","Sort=A","Dates=H","DateFormat=P","Fill=—","Direction=H","UseDPDF=Y")</f>
        <v>112.76900000000001</v>
      </c>
      <c r="E14" s="13">
        <f>_xll.BDH("ALNY US Equity","IS_SGA_EXPENSE","FQ3 2019","FQ3 2019","Currency=USD","Period=FQ","BEST_FPERIOD_OVERRIDE=FQ","FILING_STATUS=MR","SCALING_FORMAT=MLN","FA_ADJUSTED=Adjusted","Sort=A","Dates=H","DateFormat=P","Fill=—","Direction=H","UseDPDF=Y")</f>
        <v>120.351</v>
      </c>
      <c r="F14" s="13">
        <f>_xll.BDH("ALNY US Equity","IS_SGA_EXPENSE","FQ4 2019","FQ4 2019","Currency=USD","Period=FQ","BEST_FPERIOD_OVERRIDE=FQ","FILING_STATUS=MR","SCALING_FORMAT=MLN","FA_ADJUSTED=Adjusted","Sort=A","Dates=H","DateFormat=P","Fill=—","Direction=H","UseDPDF=Y")</f>
        <v>156.27699999999999</v>
      </c>
      <c r="G14" s="13">
        <f>_xll.BDH("ALNY US Equity","IS_SGA_EXPENSE","FQ1 2020","FQ1 2020","Currency=USD","Period=FQ","BEST_FPERIOD_OVERRIDE=FQ","FILING_STATUS=MR","SCALING_FORMAT=MLN","FA_ADJUSTED=Adjusted","Sort=A","Dates=H","DateFormat=P","Fill=—","Direction=H","UseDPDF=Y")</f>
        <v>126.761</v>
      </c>
      <c r="H14" s="13">
        <f>_xll.BDH("ALNY US Equity","IS_SGA_EXPENSE","FQ2 2020","FQ2 2020","Currency=USD","Period=FQ","BEST_FPERIOD_OVERRIDE=FQ","FILING_STATUS=MR","SCALING_FORMAT=MLN","FA_ADJUSTED=Adjusted","Sort=A","Dates=H","DateFormat=P","Fill=—","Direction=H","UseDPDF=Y")</f>
        <v>127.896</v>
      </c>
      <c r="I14" s="13">
        <f>_xll.BDH("ALNY US Equity","IS_SGA_EXPENSE","FQ3 2020","FQ3 2020","Currency=USD","Period=FQ","BEST_FPERIOD_OVERRIDE=FQ","FILING_STATUS=MR","SCALING_FORMAT=MLN","FA_ADJUSTED=Adjusted","Sort=A","Dates=H","DateFormat=P","Fill=—","Direction=H","UseDPDF=Y")</f>
        <v>167.47200000000001</v>
      </c>
      <c r="J14" s="13">
        <f>_xll.BDH("ALNY US Equity","IS_SGA_EXPENSE","FQ4 2020","FQ4 2020","Currency=USD","Period=FQ","BEST_FPERIOD_OVERRIDE=FQ","FILING_STATUS=MR","SCALING_FORMAT=MLN","FA_ADJUSTED=Adjusted","Sort=A","Dates=H","DateFormat=P","Fill=—","Direction=H","UseDPDF=Y")</f>
        <v>166.291</v>
      </c>
      <c r="K14" s="13">
        <f>_xll.BDH("ALNY US Equity","IS_SGA_EXPENSE","FQ1 2021","FQ1 2021","Currency=USD","Period=FQ","BEST_FPERIOD_OVERRIDE=FQ","FILING_STATUS=MR","SCALING_FORMAT=MLN","FA_ADJUSTED=Adjusted","Sort=A","Dates=H","DateFormat=P","Fill=—","Direction=H","UseDPDF=Y")</f>
        <v>146.85900000000001</v>
      </c>
      <c r="L14" s="13">
        <f>_xll.BDH("ALNY US Equity","IS_SGA_EXPENSE","FQ2 2021","FQ2 2021","Currency=USD","Period=FQ","BEST_FPERIOD_OVERRIDE=FQ","FILING_STATUS=MR","SCALING_FORMAT=MLN","FA_ADJUSTED=Adjusted","Sort=A","Dates=H","DateFormat=P","Fill=—","Direction=H","UseDPDF=Y")</f>
        <v>145.32300000000001</v>
      </c>
      <c r="M14" s="13">
        <f>_xll.BDH("ALNY US Equity","IS_SGA_EXPENSE","FQ3 2021","FQ3 2021","Currency=USD","Period=FQ","BEST_FPERIOD_OVERRIDE=FQ","FILING_STATUS=MR","SCALING_FORMAT=MLN","FA_ADJUSTED=Adjusted","Sort=A","Dates=H","DateFormat=P","Fill=—","Direction=H","UseDPDF=Y")</f>
        <v>142.07499999999999</v>
      </c>
      <c r="N14" s="13">
        <f>_xll.BDH("ALNY US Equity","IS_SGA_EXPENSE","FQ4 2021","FQ4 2021","Currency=USD","Period=FQ","BEST_FPERIOD_OVERRIDE=FQ","FILING_STATUS=MR","SCALING_FORMAT=MLN","FA_ADJUSTED=Adjusted","Sort=A","Dates=H","DateFormat=P","Fill=—","Direction=H","UseDPDF=Y")</f>
        <v>186.38200000000001</v>
      </c>
      <c r="O14" s="13">
        <f>_xll.BDH("ALNY US Equity","IS_SGA_EXPENSE","FQ1 2022","FQ1 2022","Currency=USD","Period=FQ","BEST_FPERIOD_OVERRIDE=FQ","FILING_STATUS=MR","SCALING_FORMAT=MLN","FA_ADJUSTED=Adjusted","Sort=A","Dates=H","DateFormat=P","Fill=—","Direction=H","UseDPDF=Y")</f>
        <v>154.471</v>
      </c>
      <c r="P14" s="13">
        <f>_xll.BDH("ALNY US Equity","IS_SGA_EXPENSE","FQ2 2022","FQ2 2022","Currency=USD","Period=FQ","BEST_FPERIOD_OVERRIDE=FQ","FILING_STATUS=MR","SCALING_FORMAT=MLN","FA_ADJUSTED=Adjusted","Sort=A","Dates=H","DateFormat=P","Fill=—","Direction=H","UseDPDF=Y")</f>
        <v>169.98400000000001</v>
      </c>
      <c r="Q14" s="13">
        <f>_xll.BDH("ALNY US Equity","IS_SGA_EXPENSE","FQ3 2022","FQ3 2022","Currency=USD","Period=FQ","BEST_FPERIOD_OVERRIDE=FQ","FILING_STATUS=MR","SCALING_FORMAT=MLN","FA_ADJUSTED=Adjusted","Sort=A","Dates=H","DateFormat=P","Fill=—","Direction=H","UseDPDF=Y")</f>
        <v>235.85900000000001</v>
      </c>
      <c r="R14" s="13">
        <f>_xll.BDH("ALNY US Equity","IS_SGA_EXPENSE","FQ4 2022","FQ4 2022","Currency=USD","Period=FQ","BEST_FPERIOD_OVERRIDE=FQ","FILING_STATUS=MR","SCALING_FORMAT=MLN","FA_ADJUSTED=Adjusted","Sort=A","Dates=H","DateFormat=P","Fill=—","Direction=H","UseDPDF=Y")</f>
        <v>210.34399999999999</v>
      </c>
      <c r="S14" s="13">
        <f>_xll.BDH("ALNY US Equity","IS_SGA_EXPENSE","FQ1 2023","FQ1 2023","Currency=USD","Period=FQ","BEST_FPERIOD_OVERRIDE=FQ","FILING_STATUS=MR","SCALING_FORMAT=MLN","FA_ADJUSTED=Adjusted","Sort=A","Dates=H","DateFormat=P","Fill=—","Direction=H","UseDPDF=Y")</f>
        <v>183.65899999999999</v>
      </c>
      <c r="T14" s="13">
        <f>_xll.BDH("ALNY US Equity","IS_SGA_EXPENSE","FQ2 2023","FQ2 2023","Currency=USD","Period=FQ","BEST_FPERIOD_OVERRIDE=FQ","FILING_STATUS=MR","SCALING_FORMAT=MLN","FA_ADJUSTED=Adjusted","Sort=A","Dates=H","DateFormat=P","Fill=—","Direction=H","UseDPDF=Y")</f>
        <v>214.68899999999999</v>
      </c>
      <c r="U14" s="13">
        <f>_xll.BDH("ALNY US Equity","IS_SGA_EXPENSE","FQ3 2023","FQ3 2023","Currency=USD","Period=FQ","BEST_FPERIOD_OVERRIDE=FQ","FILING_STATUS=MR","SCALING_FORMAT=MLN","FA_ADJUSTED=Adjusted","Sort=A","Dates=H","DateFormat=P","Fill=—","Direction=H","UseDPDF=Y")</f>
        <v>199.17500000000001</v>
      </c>
      <c r="V14" s="13">
        <f>_xll.BDH("ALNY US Equity","IS_SGA_EXPENSE","FQ4 2023","FQ4 2023","Currency=USD","Period=FQ","BEST_FPERIOD_OVERRIDE=FQ","FILING_STATUS=MR","SCALING_FORMAT=MLN","FA_ADJUSTED=Adjusted","Sort=A","Dates=H","DateFormat=P","Fill=—","Direction=H","UseDPDF=Y")</f>
        <v>198.12299999999999</v>
      </c>
      <c r="W14" s="13">
        <f>_xll.BDH("ALNY US Equity","IS_SGA_EXPENSE","FQ1 2024","FQ1 2024","Currency=USD","Period=FQ","BEST_FPERIOD_OVERRIDE=FQ","FILING_STATUS=MR","SCALING_FORMAT=MLN","FA_ADJUSTED=Adjusted","Sort=A","Dates=H","DateFormat=P","Fill=—","Direction=H","UseDPDF=Y")</f>
        <v>210.797</v>
      </c>
      <c r="X14" s="13">
        <f>_xll.BDH("ALNY US Equity","IS_SGA_EXPENSE","FQ2 2024","FQ2 2024","Currency=USD","Period=FQ","BEST_FPERIOD_OVERRIDE=FQ","FILING_STATUS=MR","SCALING_FORMAT=MLN","FA_ADJUSTED=Adjusted","Sort=A","Dates=H","DateFormat=P","Fill=—","Direction=H","UseDPDF=Y")</f>
        <v>248.39699999999999</v>
      </c>
      <c r="Y14" s="13">
        <f>_xll.BDH("ALNY US Equity","IS_SGA_EXPENSE","FQ3 2024","FQ3 2024","Currency=USD","Period=FQ","BEST_FPERIOD_OVERRIDE=FQ","FILING_STATUS=MR","SCALING_FORMAT=MLN","FA_ADJUSTED=Adjusted","Sort=A","Dates=H","DateFormat=P","Fill=—","Direction=H","UseDPDF=Y")</f>
        <v>220.99299999999999</v>
      </c>
      <c r="Z14" s="13">
        <f>_xll.BDH("ALNY US Equity","IS_SGA_EXPENSE","FQ4 2024","FQ4 2024","Currency=USD","Period=FQ","BEST_FPERIOD_OVERRIDE=FQ","FILING_STATUS=MR","SCALING_FORMAT=MLN","FA_ADJUSTED=Adjusted","Sort=A","Dates=H","DateFormat=P","Fill=—","Direction=H","UseDPDF=Y")</f>
        <v>295.339</v>
      </c>
    </row>
    <row r="15" spans="1:26" x14ac:dyDescent="0.25">
      <c r="A15" s="11" t="s">
        <v>71</v>
      </c>
      <c r="B15" s="11" t="s">
        <v>72</v>
      </c>
      <c r="C15" s="18" t="str">
        <f>_xll.BDH("ALNY US Equity","IS_GENERAL_AND_ADMINISTRATIVE","FQ1 2019","FQ1 2019","Currency=USD","Period=FQ","BEST_FPERIOD_OVERRIDE=FQ","FILING_STATUS=MR","SCALING_FORMAT=MLN","FA_ADJUSTED=Adjusted","Sort=A","Dates=H","DateFormat=P","Fill=—","Direction=H","UseDPDF=Y")</f>
        <v>—</v>
      </c>
      <c r="D15" s="18">
        <f>_xll.BDH("ALNY US Equity","IS_GENERAL_AND_ADMINISTRATIVE","FQ2 2019","FQ2 2019","Currency=USD","Period=FQ","BEST_FPERIOD_OVERRIDE=FQ","FILING_STATUS=MR","SCALING_FORMAT=MLN","FA_ADJUSTED=Adjusted","Sort=A","Dates=H","DateFormat=P","Fill=—","Direction=H","UseDPDF=Y")</f>
        <v>112.76900000000001</v>
      </c>
      <c r="E15" s="18">
        <f>_xll.BDH("ALNY US Equity","IS_GENERAL_AND_ADMINISTRATIVE","FQ3 2019","FQ3 2019","Currency=USD","Period=FQ","BEST_FPERIOD_OVERRIDE=FQ","FILING_STATUS=MR","SCALING_FORMAT=MLN","FA_ADJUSTED=Adjusted","Sort=A","Dates=H","DateFormat=P","Fill=—","Direction=H","UseDPDF=Y")</f>
        <v>120.351</v>
      </c>
      <c r="F15" s="18" t="str">
        <f>_xll.BDH("ALNY US Equity","IS_GENERAL_AND_ADMINISTRATIVE","FQ4 2019","FQ4 2019","Currency=USD","Period=FQ","BEST_FPERIOD_OVERRIDE=FQ","FILING_STATUS=MR","SCALING_FORMAT=MLN","FA_ADJUSTED=Adjusted","Sort=A","Dates=H","DateFormat=P","Fill=—","Direction=H","UseDPDF=Y")</f>
        <v>—</v>
      </c>
      <c r="G15" s="18" t="str">
        <f>_xll.BDH("ALNY US Equity","IS_GENERAL_AND_ADMINISTRATIVE","FQ1 2020","FQ1 2020","Currency=USD","Period=FQ","BEST_FPERIOD_OVERRIDE=FQ","FILING_STATUS=MR","SCALING_FORMAT=MLN","FA_ADJUSTED=Adjusted","Sort=A","Dates=H","DateFormat=P","Fill=—","Direction=H","UseDPDF=Y")</f>
        <v>—</v>
      </c>
      <c r="H15" s="18">
        <f>_xll.BDH("ALNY US Equity","IS_GENERAL_AND_ADMINISTRATIVE","FQ2 2020","FQ2 2020","Currency=USD","Period=FQ","BEST_FPERIOD_OVERRIDE=FQ","FILING_STATUS=MR","SCALING_FORMAT=MLN","FA_ADJUSTED=Adjusted","Sort=A","Dates=H","DateFormat=P","Fill=—","Direction=H","UseDPDF=Y")</f>
        <v>127.896</v>
      </c>
      <c r="I15" s="18" t="str">
        <f>_xll.BDH("ALNY US Equity","IS_GENERAL_AND_ADMINISTRATIVE","FQ3 2020","FQ3 2020","Currency=USD","Period=FQ","BEST_FPERIOD_OVERRIDE=FQ","FILING_STATUS=MR","SCALING_FORMAT=MLN","FA_ADJUSTED=Adjusted","Sort=A","Dates=H","DateFormat=P","Fill=—","Direction=H","UseDPDF=Y")</f>
        <v>—</v>
      </c>
      <c r="J15" s="18" t="str">
        <f>_xll.BDH("ALNY US Equity","IS_GENERAL_AND_ADMINISTRATIVE","FQ4 2020","FQ4 2020","Currency=USD","Period=FQ","BEST_FPERIOD_OVERRIDE=FQ","FILING_STATUS=MR","SCALING_FORMAT=MLN","FA_ADJUSTED=Adjusted","Sort=A","Dates=H","DateFormat=P","Fill=—","Direction=H","UseDPDF=Y")</f>
        <v>—</v>
      </c>
      <c r="K15" s="18" t="str">
        <f>_xll.BDH("ALNY US Equity","IS_GENERAL_AND_ADMINISTRATIVE","FQ1 2021","FQ1 2021","Currency=USD","Period=FQ","BEST_FPERIOD_OVERRIDE=FQ","FILING_STATUS=MR","SCALING_FORMAT=MLN","FA_ADJUSTED=Adjusted","Sort=A","Dates=H","DateFormat=P","Fill=—","Direction=H","UseDPDF=Y")</f>
        <v>—</v>
      </c>
      <c r="L15" s="18" t="str">
        <f>_xll.BDH("ALNY US Equity","IS_GENERAL_AND_ADMINISTRATIVE","FQ2 2021","FQ2 2021","Currency=USD","Period=FQ","BEST_FPERIOD_OVERRIDE=FQ","FILING_STATUS=MR","SCALING_FORMAT=MLN","FA_ADJUSTED=Adjusted","Sort=A","Dates=H","DateFormat=P","Fill=—","Direction=H","UseDPDF=Y")</f>
        <v>—</v>
      </c>
      <c r="M15" s="18" t="str">
        <f>_xll.BDH("ALNY US Equity","IS_GENERAL_AND_ADMINISTRATIVE","FQ3 2021","FQ3 2021","Currency=USD","Period=FQ","BEST_FPERIOD_OVERRIDE=FQ","FILING_STATUS=MR","SCALING_FORMAT=MLN","FA_ADJUSTED=Adjusted","Sort=A","Dates=H","DateFormat=P","Fill=—","Direction=H","UseDPDF=Y")</f>
        <v>—</v>
      </c>
      <c r="N15" s="18" t="str">
        <f>_xll.BDH("ALNY US Equity","IS_GENERAL_AND_ADMINISTRATIVE","FQ4 2021","FQ4 2021","Currency=USD","Period=FQ","BEST_FPERIOD_OVERRIDE=FQ","FILING_STATUS=MR","SCALING_FORMAT=MLN","FA_ADJUSTED=Adjusted","Sort=A","Dates=H","DateFormat=P","Fill=—","Direction=H","UseDPDF=Y")</f>
        <v>—</v>
      </c>
      <c r="O15" s="18" t="str">
        <f>_xll.BDH("ALNY US Equity","IS_GENERAL_AND_ADMINISTRATIVE","FQ1 2022","FQ1 2022","Currency=USD","Period=FQ","BEST_FPERIOD_OVERRIDE=FQ","FILING_STATUS=MR","SCALING_FORMAT=MLN","FA_ADJUSTED=Adjusted","Sort=A","Dates=H","DateFormat=P","Fill=—","Direction=H","UseDPDF=Y")</f>
        <v>—</v>
      </c>
      <c r="P15" s="18" t="str">
        <f>_xll.BDH("ALNY US Equity","IS_GENERAL_AND_ADMINISTRATIVE","FQ2 2022","FQ2 2022","Currency=USD","Period=FQ","BEST_FPERIOD_OVERRIDE=FQ","FILING_STATUS=MR","SCALING_FORMAT=MLN","FA_ADJUSTED=Adjusted","Sort=A","Dates=H","DateFormat=P","Fill=—","Direction=H","UseDPDF=Y")</f>
        <v>—</v>
      </c>
      <c r="Q15" s="18" t="str">
        <f>_xll.BDH("ALNY US Equity","IS_GENERAL_AND_ADMINISTRATIVE","FQ3 2022","FQ3 2022","Currency=USD","Period=FQ","BEST_FPERIOD_OVERRIDE=FQ","FILING_STATUS=MR","SCALING_FORMAT=MLN","FA_ADJUSTED=Adjusted","Sort=A","Dates=H","DateFormat=P","Fill=—","Direction=H","UseDPDF=Y")</f>
        <v>—</v>
      </c>
      <c r="R15" s="18" t="str">
        <f>_xll.BDH("ALNY US Equity","IS_GENERAL_AND_ADMINISTRATIVE","FQ4 2022","FQ4 2022","Currency=USD","Period=FQ","BEST_FPERIOD_OVERRIDE=FQ","FILING_STATUS=MR","SCALING_FORMAT=MLN","FA_ADJUSTED=Adjusted","Sort=A","Dates=H","DateFormat=P","Fill=—","Direction=H","UseDPDF=Y")</f>
        <v>—</v>
      </c>
      <c r="S15" s="18" t="str">
        <f>_xll.BDH("ALNY US Equity","IS_GENERAL_AND_ADMINISTRATIVE","FQ1 2023","FQ1 2023","Currency=USD","Period=FQ","BEST_FPERIOD_OVERRIDE=FQ","FILING_STATUS=MR","SCALING_FORMAT=MLN","FA_ADJUSTED=Adjusted","Sort=A","Dates=H","DateFormat=P","Fill=—","Direction=H","UseDPDF=Y")</f>
        <v>—</v>
      </c>
      <c r="T15" s="18" t="str">
        <f>_xll.BDH("ALNY US Equity","IS_GENERAL_AND_ADMINISTRATIVE","FQ2 2023","FQ2 2023","Currency=USD","Period=FQ","BEST_FPERIOD_OVERRIDE=FQ","FILING_STATUS=MR","SCALING_FORMAT=MLN","FA_ADJUSTED=Adjusted","Sort=A","Dates=H","DateFormat=P","Fill=—","Direction=H","UseDPDF=Y")</f>
        <v>—</v>
      </c>
      <c r="U15" s="18" t="str">
        <f>_xll.BDH("ALNY US Equity","IS_GENERAL_AND_ADMINISTRATIVE","FQ3 2023","FQ3 2023","Currency=USD","Period=FQ","BEST_FPERIOD_OVERRIDE=FQ","FILING_STATUS=MR","SCALING_FORMAT=MLN","FA_ADJUSTED=Adjusted","Sort=A","Dates=H","DateFormat=P","Fill=—","Direction=H","UseDPDF=Y")</f>
        <v>—</v>
      </c>
      <c r="V15" s="18" t="str">
        <f>_xll.BDH("ALNY US Equity","IS_GENERAL_AND_ADMINISTRATIVE","FQ4 2023","FQ4 2023","Currency=USD","Period=FQ","BEST_FPERIOD_OVERRIDE=FQ","FILING_STATUS=MR","SCALING_FORMAT=MLN","FA_ADJUSTED=Adjusted","Sort=A","Dates=H","DateFormat=P","Fill=—","Direction=H","UseDPDF=Y")</f>
        <v>—</v>
      </c>
      <c r="W15" s="18" t="str">
        <f>_xll.BDH("ALNY US Equity","IS_GENERAL_AND_ADMINISTRATIVE","FQ1 2024","FQ1 2024","Currency=USD","Period=FQ","BEST_FPERIOD_OVERRIDE=FQ","FILING_STATUS=MR","SCALING_FORMAT=MLN","FA_ADJUSTED=Adjusted","Sort=A","Dates=H","DateFormat=P","Fill=—","Direction=H","UseDPDF=Y")</f>
        <v>—</v>
      </c>
      <c r="X15" s="18" t="str">
        <f>_xll.BDH("ALNY US Equity","IS_GENERAL_AND_ADMINISTRATIVE","FQ2 2024","FQ2 2024","Currency=USD","Period=FQ","BEST_FPERIOD_OVERRIDE=FQ","FILING_STATUS=MR","SCALING_FORMAT=MLN","FA_ADJUSTED=Adjusted","Sort=A","Dates=H","DateFormat=P","Fill=—","Direction=H","UseDPDF=Y")</f>
        <v>—</v>
      </c>
      <c r="Y15" s="18" t="str">
        <f>_xll.BDH("ALNY US Equity","IS_GENERAL_AND_ADMINISTRATIVE","FQ3 2024","FQ3 2024","Currency=USD","Period=FQ","BEST_FPERIOD_OVERRIDE=FQ","FILING_STATUS=MR","SCALING_FORMAT=MLN","FA_ADJUSTED=Adjusted","Sort=A","Dates=H","DateFormat=P","Fill=—","Direction=H","UseDPDF=Y")</f>
        <v>—</v>
      </c>
      <c r="Z15" s="18" t="str">
        <f>_xll.BDH("ALNY US Equity","IS_GENERAL_AND_ADMINISTRATIVE","FQ4 2024","FQ4 2024","Currency=USD","Period=FQ","BEST_FPERIOD_OVERRIDE=FQ","FILING_STATUS=MR","SCALING_FORMAT=MLN","FA_ADJUSTED=Adjusted","Sort=A","Dates=H","DateFormat=P","Fill=—","Direction=H","UseDPDF=Y")</f>
        <v>—</v>
      </c>
    </row>
    <row r="16" spans="1:26" x14ac:dyDescent="0.25">
      <c r="A16" s="10" t="s">
        <v>73</v>
      </c>
      <c r="B16" s="10" t="s">
        <v>74</v>
      </c>
      <c r="C16" s="13">
        <f>_xll.BDH("ALNY US Equity","IS_OPERATING_EXPENSES_RD","FQ1 2019","FQ1 2019","Currency=USD","Period=FQ","BEST_FPERIOD_OVERRIDE=FQ","FILING_STATUS=MR","SCALING_FORMAT=MLN","Sort=A","Dates=H","DateFormat=P","Fill=—","Direction=H","UseDPDF=Y")</f>
        <v>129.12700000000001</v>
      </c>
      <c r="D16" s="13">
        <f>_xll.BDH("ALNY US Equity","IS_OPERATING_EXPENSES_RD","FQ2 2019","FQ2 2019","Currency=USD","Period=FQ","BEST_FPERIOD_OVERRIDE=FQ","FILING_STATUS=MR","SCALING_FORMAT=MLN","Sort=A","Dates=H","DateFormat=P","Fill=—","Direction=H","UseDPDF=Y")</f>
        <v>163.89</v>
      </c>
      <c r="E16" s="13">
        <f>_xll.BDH("ALNY US Equity","IS_OPERATING_EXPENSES_RD","FQ3 2019","FQ3 2019","Currency=USD","Period=FQ","BEST_FPERIOD_OVERRIDE=FQ","FILING_STATUS=MR","SCALING_FORMAT=MLN","Sort=A","Dates=H","DateFormat=P","Fill=—","Direction=H","UseDPDF=Y")</f>
        <v>160.79599999999999</v>
      </c>
      <c r="F16" s="13">
        <f>_xll.BDH("ALNY US Equity","IS_OPERATING_EXPENSES_RD","FQ4 2019","FQ4 2019","Currency=USD","Period=FQ","BEST_FPERIOD_OVERRIDE=FQ","FILING_STATUS=MR","SCALING_FORMAT=MLN","Sort=A","Dates=H","DateFormat=P","Fill=—","Direction=H","UseDPDF=Y")</f>
        <v>201.30099999999999</v>
      </c>
      <c r="G16" s="13">
        <f>_xll.BDH("ALNY US Equity","IS_OPERATING_EXPENSES_RD","FQ1 2020","FQ1 2020","Currency=USD","Period=FQ","BEST_FPERIOD_OVERRIDE=FQ","FILING_STATUS=MR","SCALING_FORMAT=MLN","Sort=A","Dates=H","DateFormat=P","Fill=—","Direction=H","UseDPDF=Y")</f>
        <v>169.571</v>
      </c>
      <c r="H16" s="13">
        <f>_xll.BDH("ALNY US Equity","IS_OPERATING_EXPENSES_RD","FQ2 2020","FQ2 2020","Currency=USD","Period=FQ","BEST_FPERIOD_OVERRIDE=FQ","FILING_STATUS=MR","SCALING_FORMAT=MLN","Sort=A","Dates=H","DateFormat=P","Fill=—","Direction=H","UseDPDF=Y")</f>
        <v>154.99600000000001</v>
      </c>
      <c r="I16" s="13">
        <f>_xll.BDH("ALNY US Equity","IS_OPERATING_EXPENSES_RD","FQ3 2020","FQ3 2020","Currency=USD","Period=FQ","BEST_FPERIOD_OVERRIDE=FQ","FILING_STATUS=MR","SCALING_FORMAT=MLN","Sort=A","Dates=H","DateFormat=P","Fill=—","Direction=H","UseDPDF=Y")</f>
        <v>161.78299999999999</v>
      </c>
      <c r="J16" s="13">
        <f>_xll.BDH("ALNY US Equity","IS_OPERATING_EXPENSES_RD","FQ4 2020","FQ4 2020","Currency=USD","Period=FQ","BEST_FPERIOD_OVERRIDE=FQ","FILING_STATUS=MR","SCALING_FORMAT=MLN","Sort=A","Dates=H","DateFormat=P","Fill=—","Direction=H","UseDPDF=Y")</f>
        <v>168.46899999999999</v>
      </c>
      <c r="K16" s="13">
        <f>_xll.BDH("ALNY US Equity","IS_OPERATING_EXPENSES_RD","FQ1 2021","FQ1 2021","Currency=USD","Period=FQ","BEST_FPERIOD_OVERRIDE=FQ","FILING_STATUS=MR","SCALING_FORMAT=MLN","Sort=A","Dates=H","DateFormat=P","Fill=—","Direction=H","UseDPDF=Y")</f>
        <v>185.899</v>
      </c>
      <c r="L16" s="13">
        <f>_xll.BDH("ALNY US Equity","IS_OPERATING_EXPENSES_RD","FQ2 2021","FQ2 2021","Currency=USD","Period=FQ","BEST_FPERIOD_OVERRIDE=FQ","FILING_STATUS=MR","SCALING_FORMAT=MLN","Sort=A","Dates=H","DateFormat=P","Fill=—","Direction=H","UseDPDF=Y")</f>
        <v>182.63499999999999</v>
      </c>
      <c r="M16" s="13">
        <f>_xll.BDH("ALNY US Equity","IS_OPERATING_EXPENSES_RD","FQ3 2021","FQ3 2021","Currency=USD","Period=FQ","BEST_FPERIOD_OVERRIDE=FQ","FILING_STATUS=MR","SCALING_FORMAT=MLN","Sort=A","Dates=H","DateFormat=P","Fill=—","Direction=H","UseDPDF=Y")</f>
        <v>194.572</v>
      </c>
      <c r="N16" s="13">
        <f>_xll.BDH("ALNY US Equity","IS_OPERATING_EXPENSES_RD","FQ4 2021","FQ4 2021","Currency=USD","Period=FQ","BEST_FPERIOD_OVERRIDE=FQ","FILING_STATUS=MR","SCALING_FORMAT=MLN","Sort=A","Dates=H","DateFormat=P","Fill=—","Direction=H","UseDPDF=Y")</f>
        <v>229.05</v>
      </c>
      <c r="O16" s="13">
        <f>_xll.BDH("ALNY US Equity","IS_OPERATING_EXPENSES_RD","FQ1 2022","FQ1 2022","Currency=USD","Period=FQ","BEST_FPERIOD_OVERRIDE=FQ","FILING_STATUS=MR","SCALING_FORMAT=MLN","Sort=A","Dates=H","DateFormat=P","Fill=—","Direction=H","UseDPDF=Y")</f>
        <v>169.893</v>
      </c>
      <c r="P16" s="13">
        <f>_xll.BDH("ALNY US Equity","IS_OPERATING_EXPENSES_RD","FQ2 2022","FQ2 2022","Currency=USD","Period=FQ","BEST_FPERIOD_OVERRIDE=FQ","FILING_STATUS=MR","SCALING_FORMAT=MLN","Sort=A","Dates=H","DateFormat=P","Fill=—","Direction=H","UseDPDF=Y")</f>
        <v>205.71199999999999</v>
      </c>
      <c r="Q16" s="13">
        <f>_xll.BDH("ALNY US Equity","IS_OPERATING_EXPENSES_RD","FQ3 2022","FQ3 2022","Currency=USD","Period=FQ","BEST_FPERIOD_OVERRIDE=FQ","FILING_STATUS=MR","SCALING_FORMAT=MLN","Sort=A","Dates=H","DateFormat=P","Fill=—","Direction=H","UseDPDF=Y")</f>
        <v>245.37100000000001</v>
      </c>
      <c r="R16" s="13">
        <f>_xll.BDH("ALNY US Equity","IS_OPERATING_EXPENSES_RD","FQ4 2022","FQ4 2022","Currency=USD","Period=FQ","BEST_FPERIOD_OVERRIDE=FQ","FILING_STATUS=MR","SCALING_FORMAT=MLN","Sort=A","Dates=H","DateFormat=P","Fill=—","Direction=H","UseDPDF=Y")</f>
        <v>262.03899999999999</v>
      </c>
      <c r="S16" s="13">
        <f>_xll.BDH("ALNY US Equity","IS_OPERATING_EXPENSES_RD","FQ1 2023","FQ1 2023","Currency=USD","Period=FQ","BEST_FPERIOD_OVERRIDE=FQ","FILING_STATUS=MR","SCALING_FORMAT=MLN","Sort=A","Dates=H","DateFormat=P","Fill=—","Direction=H","UseDPDF=Y")</f>
        <v>230.56899999999999</v>
      </c>
      <c r="T16" s="13">
        <f>_xll.BDH("ALNY US Equity","IS_OPERATING_EXPENSES_RD","FQ2 2023","FQ2 2023","Currency=USD","Period=FQ","BEST_FPERIOD_OVERRIDE=FQ","FILING_STATUS=MR","SCALING_FORMAT=MLN","Sort=A","Dates=H","DateFormat=P","Fill=—","Direction=H","UseDPDF=Y")</f>
        <v>248.52600000000001</v>
      </c>
      <c r="U16" s="13">
        <f>_xll.BDH("ALNY US Equity","IS_OPERATING_EXPENSES_RD","FQ3 2023","FQ3 2023","Currency=USD","Period=FQ","BEST_FPERIOD_OVERRIDE=FQ","FILING_STATUS=MR","SCALING_FORMAT=MLN","Sort=A","Dates=H","DateFormat=P","Fill=—","Direction=H","UseDPDF=Y")</f>
        <v>253.179</v>
      </c>
      <c r="V16" s="13">
        <f>_xll.BDH("ALNY US Equity","IS_OPERATING_EXPENSES_RD","FQ4 2023","FQ4 2023","Currency=USD","Period=FQ","BEST_FPERIOD_OVERRIDE=FQ","FILING_STATUS=MR","SCALING_FORMAT=MLN","Sort=A","Dates=H","DateFormat=P","Fill=—","Direction=H","UseDPDF=Y")</f>
        <v>272.14100000000002</v>
      </c>
      <c r="W16" s="13">
        <f>_xll.BDH("ALNY US Equity","IS_OPERATING_EXPENSES_RD","FQ1 2024","FQ1 2024","Currency=USD","Period=FQ","BEST_FPERIOD_OVERRIDE=FQ","FILING_STATUS=MR","SCALING_FORMAT=MLN","Sort=A","Dates=H","DateFormat=P","Fill=—","Direction=H","UseDPDF=Y")</f>
        <v>260.995</v>
      </c>
      <c r="X16" s="13">
        <f>_xll.BDH("ALNY US Equity","IS_OPERATING_EXPENSES_RD","FQ2 2024","FQ2 2024","Currency=USD","Period=FQ","BEST_FPERIOD_OVERRIDE=FQ","FILING_STATUS=MR","SCALING_FORMAT=MLN","Sort=A","Dates=H","DateFormat=P","Fill=—","Direction=H","UseDPDF=Y")</f>
        <v>294.142</v>
      </c>
      <c r="Y16" s="13">
        <f>_xll.BDH("ALNY US Equity","IS_OPERATING_EXPENSES_RD","FQ3 2024","FQ3 2024","Currency=USD","Period=FQ","BEST_FPERIOD_OVERRIDE=FQ","FILING_STATUS=MR","SCALING_FORMAT=MLN","Sort=A","Dates=H","DateFormat=P","Fill=—","Direction=H","UseDPDF=Y")</f>
        <v>270.92599999999999</v>
      </c>
      <c r="Z16" s="13">
        <f>_xll.BDH("ALNY US Equity","IS_OPERATING_EXPENSES_RD","FQ4 2024","FQ4 2024","Currency=USD","Period=FQ","BEST_FPERIOD_OVERRIDE=FQ","FILING_STATUS=MR","SCALING_FORMAT=MLN","Sort=A","Dates=H","DateFormat=P","Fill=—","Direction=H","UseDPDF=Y")</f>
        <v>300.16899999999998</v>
      </c>
    </row>
    <row r="17" spans="1:26" x14ac:dyDescent="0.25">
      <c r="A17" s="10" t="s">
        <v>75</v>
      </c>
      <c r="B17" s="10" t="s">
        <v>76</v>
      </c>
      <c r="C17" s="13">
        <f>_xll.BDH("ALNY US Equity","IS_OTHER_OPERATING_EXPENSES","FQ1 2019","FQ1 2019","Currency=USD","Period=FQ","BEST_FPERIOD_OVERRIDE=FQ","FILING_STATUS=MR","SCALING_FORMAT=MLN","FA_ADJUSTED=Adjusted","Sort=A","Dates=H","DateFormat=P","Fill=—","Direction=H","UseDPDF=Y")</f>
        <v>0</v>
      </c>
      <c r="D17" s="13">
        <f>_xll.BDH("ALNY US Equity","IS_OTHER_OPERATING_EXPENSES","FQ2 2019","FQ2 2019","Currency=USD","Period=FQ","BEST_FPERIOD_OVERRIDE=FQ","FILING_STATUS=MR","SCALING_FORMAT=MLN","FA_ADJUSTED=Adjusted","Sort=A","Dates=H","DateFormat=P","Fill=—","Direction=H","UseDPDF=Y")</f>
        <v>0</v>
      </c>
      <c r="E17" s="13">
        <f>_xll.BDH("ALNY US Equity","IS_OTHER_OPERATING_EXPENSES","FQ3 2019","FQ3 2019","Currency=USD","Period=FQ","BEST_FPERIOD_OVERRIDE=FQ","FILING_STATUS=MR","SCALING_FORMAT=MLN","FA_ADJUSTED=Adjusted","Sort=A","Dates=H","DateFormat=P","Fill=—","Direction=H","UseDPDF=Y")</f>
        <v>0</v>
      </c>
      <c r="F17" s="13">
        <f>_xll.BDH("ALNY US Equity","IS_OTHER_OPERATING_EXPENSES","FQ4 2019","FQ4 2019","Currency=USD","Period=FQ","BEST_FPERIOD_OVERRIDE=FQ","FILING_STATUS=MR","SCALING_FORMAT=MLN","FA_ADJUSTED=Adjusted","Sort=A","Dates=H","DateFormat=P","Fill=—","Direction=H","UseDPDF=Y")</f>
        <v>0</v>
      </c>
      <c r="G17" s="13">
        <f>_xll.BDH("ALNY US Equity","IS_OTHER_OPERATING_EXPENSES","FQ1 2020","FQ1 2020","Currency=USD","Period=FQ","BEST_FPERIOD_OVERRIDE=FQ","FILING_STATUS=MR","SCALING_FORMAT=MLN","FA_ADJUSTED=Adjusted","Sort=A","Dates=H","DateFormat=P","Fill=—","Direction=H","UseDPDF=Y")</f>
        <v>0</v>
      </c>
      <c r="H17" s="13">
        <f>_xll.BDH("ALNY US Equity","IS_OTHER_OPERATING_EXPENSES","FQ2 2020","FQ2 2020","Currency=USD","Period=FQ","BEST_FPERIOD_OVERRIDE=FQ","FILING_STATUS=MR","SCALING_FORMAT=MLN","FA_ADJUSTED=Adjusted","Sort=A","Dates=H","DateFormat=P","Fill=—","Direction=H","UseDPDF=Y")</f>
        <v>0.81269999999999998</v>
      </c>
      <c r="I17" s="13">
        <f>_xll.BDH("ALNY US Equity","IS_OTHER_OPERATING_EXPENSES","FQ3 2020","FQ3 2020","Currency=USD","Period=FQ","BEST_FPERIOD_OVERRIDE=FQ","FILING_STATUS=MR","SCALING_FORMAT=MLN","FA_ADJUSTED=Adjusted","Sort=A","Dates=H","DateFormat=P","Fill=—","Direction=H","UseDPDF=Y")</f>
        <v>-29.413</v>
      </c>
      <c r="J17" s="13">
        <f>_xll.BDH("ALNY US Equity","IS_OTHER_OPERATING_EXPENSES","FQ4 2020","FQ4 2020","Currency=USD","Period=FQ","BEST_FPERIOD_OVERRIDE=FQ","FILING_STATUS=MR","SCALING_FORMAT=MLN","FA_ADJUSTED=Adjusted","Sort=A","Dates=H","DateFormat=P","Fill=—","Direction=H","UseDPDF=Y")</f>
        <v>-10.215999999999999</v>
      </c>
      <c r="K17" s="13">
        <f>_xll.BDH("ALNY US Equity","IS_OTHER_OPERATING_EXPENSES","FQ1 2021","FQ1 2021","Currency=USD","Period=FQ","BEST_FPERIOD_OVERRIDE=FQ","FILING_STATUS=MR","SCALING_FORMAT=MLN","FA_ADJUSTED=Adjusted","Sort=A","Dates=H","DateFormat=P","Fill=—","Direction=H","UseDPDF=Y")</f>
        <v>0</v>
      </c>
      <c r="L17" s="13">
        <f>_xll.BDH("ALNY US Equity","IS_OTHER_OPERATING_EXPENSES","FQ2 2021","FQ2 2021","Currency=USD","Period=FQ","BEST_FPERIOD_OVERRIDE=FQ","FILING_STATUS=MR","SCALING_FORMAT=MLN","FA_ADJUSTED=Adjusted","Sort=A","Dates=H","DateFormat=P","Fill=—","Direction=H","UseDPDF=Y")</f>
        <v>0</v>
      </c>
      <c r="M17" s="13">
        <f>_xll.BDH("ALNY US Equity","IS_OTHER_OPERATING_EXPENSES","FQ3 2021","FQ3 2021","Currency=USD","Period=FQ","BEST_FPERIOD_OVERRIDE=FQ","FILING_STATUS=MR","SCALING_FORMAT=MLN","FA_ADJUSTED=Adjusted","Sort=A","Dates=H","DateFormat=P","Fill=—","Direction=H","UseDPDF=Y")</f>
        <v>-10</v>
      </c>
      <c r="N17" s="13">
        <f>_xll.BDH("ALNY US Equity","IS_OTHER_OPERATING_EXPENSES","FQ4 2021","FQ4 2021","Currency=USD","Period=FQ","BEST_FPERIOD_OVERRIDE=FQ","FILING_STATUS=MR","SCALING_FORMAT=MLN","FA_ADJUSTED=Adjusted","Sort=A","Dates=H","DateFormat=P","Fill=—","Direction=H","UseDPDF=Y")</f>
        <v>0</v>
      </c>
      <c r="O17" s="13">
        <f>_xll.BDH("ALNY US Equity","IS_OTHER_OPERATING_EXPENSES","FQ1 2022","FQ1 2022","Currency=USD","Period=FQ","BEST_FPERIOD_OVERRIDE=FQ","FILING_STATUS=MR","SCALING_FORMAT=MLN","FA_ADJUSTED=Adjusted","Sort=A","Dates=H","DateFormat=P","Fill=—","Direction=H","UseDPDF=Y")</f>
        <v>0</v>
      </c>
      <c r="P17" s="13">
        <f>_xll.BDH("ALNY US Equity","IS_OTHER_OPERATING_EXPENSES","FQ2 2022","FQ2 2022","Currency=USD","Period=FQ","BEST_FPERIOD_OVERRIDE=FQ","FILING_STATUS=MR","SCALING_FORMAT=MLN","FA_ADJUSTED=Adjusted","Sort=A","Dates=H","DateFormat=P","Fill=—","Direction=H","UseDPDF=Y")</f>
        <v>0</v>
      </c>
      <c r="Q17" s="13">
        <f>_xll.BDH("ALNY US Equity","IS_OTHER_OPERATING_EXPENSES","FQ3 2022","FQ3 2022","Currency=USD","Period=FQ","BEST_FPERIOD_OVERRIDE=FQ","FILING_STATUS=MR","SCALING_FORMAT=MLN","FA_ADJUSTED=Adjusted","Sort=A","Dates=H","DateFormat=P","Fill=—","Direction=H","UseDPDF=Y")</f>
        <v>0</v>
      </c>
      <c r="R17" s="13">
        <f>_xll.BDH("ALNY US Equity","IS_OTHER_OPERATING_EXPENSES","FQ4 2022","FQ4 2022","Currency=USD","Period=FQ","BEST_FPERIOD_OVERRIDE=FQ","FILING_STATUS=MR","SCALING_FORMAT=MLN","FA_ADJUSTED=Adjusted","Sort=A","Dates=H","DateFormat=P","Fill=—","Direction=H","UseDPDF=Y")</f>
        <v>0</v>
      </c>
      <c r="S17" s="13">
        <f>_xll.BDH("ALNY US Equity","IS_OTHER_OPERATING_EXPENSES","FQ1 2023","FQ1 2023","Currency=USD","Period=FQ","BEST_FPERIOD_OVERRIDE=FQ","FILING_STATUS=MR","SCALING_FORMAT=MLN","FA_ADJUSTED=Adjusted","Sort=A","Dates=H","DateFormat=P","Fill=—","Direction=H","UseDPDF=Y")</f>
        <v>0</v>
      </c>
      <c r="T17" s="13">
        <f>_xll.BDH("ALNY US Equity","IS_OTHER_OPERATING_EXPENSES","FQ2 2023","FQ2 2023","Currency=USD","Period=FQ","BEST_FPERIOD_OVERRIDE=FQ","FILING_STATUS=MR","SCALING_FORMAT=MLN","FA_ADJUSTED=Adjusted","Sort=A","Dates=H","DateFormat=P","Fill=—","Direction=H","UseDPDF=Y")</f>
        <v>0</v>
      </c>
      <c r="U17" s="13">
        <f>_xll.BDH("ALNY US Equity","IS_OTHER_OPERATING_EXPENSES","FQ3 2023","FQ3 2023","Currency=USD","Period=FQ","BEST_FPERIOD_OVERRIDE=FQ","FILING_STATUS=MR","SCALING_FORMAT=MLN","FA_ADJUSTED=Adjusted","Sort=A","Dates=H","DateFormat=P","Fill=—","Direction=H","UseDPDF=Y")</f>
        <v>0</v>
      </c>
      <c r="V17" s="13">
        <f>_xll.BDH("ALNY US Equity","IS_OTHER_OPERATING_EXPENSES","FQ4 2023","FQ4 2023","Currency=USD","Period=FQ","BEST_FPERIOD_OVERRIDE=FQ","FILING_STATUS=MR","SCALING_FORMAT=MLN","FA_ADJUSTED=Adjusted","Sort=A","Dates=H","DateFormat=P","Fill=—","Direction=H","UseDPDF=Y")</f>
        <v>0</v>
      </c>
      <c r="W17" s="13">
        <f>_xll.BDH("ALNY US Equity","IS_OTHER_OPERATING_EXPENSES","FQ1 2024","FQ1 2024","Currency=USD","Period=FQ","BEST_FPERIOD_OVERRIDE=FQ","FILING_STATUS=MR","SCALING_FORMAT=MLN","FA_ADJUSTED=Adjusted","Sort=A","Dates=H","DateFormat=P","Fill=—","Direction=H","UseDPDF=Y")</f>
        <v>0</v>
      </c>
      <c r="X17" s="13">
        <f>_xll.BDH("ALNY US Equity","IS_OTHER_OPERATING_EXPENSES","FQ2 2024","FQ2 2024","Currency=USD","Period=FQ","BEST_FPERIOD_OVERRIDE=FQ","FILING_STATUS=MR","SCALING_FORMAT=MLN","FA_ADJUSTED=Adjusted","Sort=A","Dates=H","DateFormat=P","Fill=—","Direction=H","UseDPDF=Y")</f>
        <v>0</v>
      </c>
      <c r="Y17" s="13">
        <f>_xll.BDH("ALNY US Equity","IS_OTHER_OPERATING_EXPENSES","FQ3 2024","FQ3 2024","Currency=USD","Period=FQ","BEST_FPERIOD_OVERRIDE=FQ","FILING_STATUS=MR","SCALING_FORMAT=MLN","FA_ADJUSTED=Adjusted","Sort=A","Dates=H","DateFormat=P","Fill=—","Direction=H","UseDPDF=Y")</f>
        <v>0</v>
      </c>
      <c r="Z17" s="13">
        <f>_xll.BDH("ALNY US Equity","IS_OTHER_OPERATING_EXPENSES","FQ4 2024","FQ4 2024","Currency=USD","Period=FQ","BEST_FPERIOD_OVERRIDE=FQ","FILING_STATUS=MR","SCALING_FORMAT=MLN","FA_ADJUSTED=Adjusted","Sort=A","Dates=H","DateFormat=P","Fill=—","Direction=H","UseDPDF=Y")</f>
        <v>0</v>
      </c>
    </row>
    <row r="18" spans="1:26" x14ac:dyDescent="0.25">
      <c r="A18" s="6" t="s">
        <v>77</v>
      </c>
      <c r="B18" s="6" t="s">
        <v>78</v>
      </c>
      <c r="C18" s="16">
        <f>_xll.BDH("ALNY US Equity","IS_OPER_INC","FQ1 2019","FQ1 2019","Currency=USD","Period=FQ","BEST_FPERIOD_OVERRIDE=FQ","FILING_STATUS=MR","SCALING_FORMAT=MLN","FA_ADJUSTED=Adjusted","Sort=A","Dates=H","DateFormat=P","Fill=—","Direction=H","UseDPDF=Y")</f>
        <v>-188.78800000000001</v>
      </c>
      <c r="D18" s="16">
        <f>_xll.BDH("ALNY US Equity","IS_OPER_INC","FQ2 2019","FQ2 2019","Currency=USD","Period=FQ","BEST_FPERIOD_OVERRIDE=FQ","FILING_STATUS=MR","SCALING_FORMAT=MLN","FA_ADJUSTED=Adjusted","Sort=A","Dates=H","DateFormat=P","Fill=—","Direction=H","UseDPDF=Y")</f>
        <v>-236.27099999999999</v>
      </c>
      <c r="E18" s="16">
        <f>_xll.BDH("ALNY US Equity","IS_OPER_INC","FQ3 2019","FQ3 2019","Currency=USD","Period=FQ","BEST_FPERIOD_OVERRIDE=FQ","FILING_STATUS=MR","SCALING_FORMAT=MLN","FA_ADJUSTED=Adjusted","Sort=A","Dates=H","DateFormat=P","Fill=—","Direction=H","UseDPDF=Y")</f>
        <v>-216.29900000000001</v>
      </c>
      <c r="F18" s="16">
        <f>_xll.BDH("ALNY US Equity","IS_OPER_INC","FQ4 2019","FQ4 2019","Currency=USD","Period=FQ","BEST_FPERIOD_OVERRIDE=FQ","FILING_STATUS=MR","SCALING_FORMAT=MLN","FA_ADJUSTED=Adjusted","Sort=A","Dates=H","DateFormat=P","Fill=—","Direction=H","UseDPDF=Y")</f>
        <v>-298.07299999999998</v>
      </c>
      <c r="G18" s="16">
        <f>_xll.BDH("ALNY US Equity","IS_OPER_INC","FQ1 2020","FQ1 2020","Currency=USD","Period=FQ","BEST_FPERIOD_OVERRIDE=FQ","FILING_STATUS=MR","SCALING_FORMAT=MLN","FA_ADJUSTED=Adjusted","Sort=A","Dates=H","DateFormat=P","Fill=—","Direction=H","UseDPDF=Y")</f>
        <v>-210.15799999999999</v>
      </c>
      <c r="H18" s="16">
        <f>_xll.BDH("ALNY US Equity","IS_OPER_INC","FQ2 2020","FQ2 2020","Currency=USD","Period=FQ","BEST_FPERIOD_OVERRIDE=FQ","FILING_STATUS=MR","SCALING_FORMAT=MLN","FA_ADJUSTED=Adjusted","Sort=A","Dates=H","DateFormat=P","Fill=—","Direction=H","UseDPDF=Y")</f>
        <v>-199.67169999999999</v>
      </c>
      <c r="I18" s="16">
        <f>_xll.BDH("ALNY US Equity","IS_OPER_INC","FQ3 2020","FQ3 2020","Currency=USD","Period=FQ","BEST_FPERIOD_OVERRIDE=FQ","FILING_STATUS=MR","SCALING_FORMAT=MLN","FA_ADJUSTED=Adjusted","Sort=A","Dates=H","DateFormat=P","Fill=—","Direction=H","UseDPDF=Y")</f>
        <v>-195.786</v>
      </c>
      <c r="J18" s="16">
        <f>_xll.BDH("ALNY US Equity","IS_OPER_INC","FQ4 2020","FQ4 2020","Currency=USD","Period=FQ","BEST_FPERIOD_OVERRIDE=FQ","FILING_STATUS=MR","SCALING_FORMAT=MLN","FA_ADJUSTED=Adjusted","Sort=A","Dates=H","DateFormat=P","Fill=—","Direction=H","UseDPDF=Y")</f>
        <v>-184.006</v>
      </c>
      <c r="K18" s="16">
        <f>_xll.BDH("ALNY US Equity","IS_OPER_INC","FQ1 2021","FQ1 2021","Currency=USD","Period=FQ","BEST_FPERIOD_OVERRIDE=FQ","FILING_STATUS=MR","SCALING_FORMAT=MLN","FA_ADJUSTED=Adjusted","Sort=A","Dates=H","DateFormat=P","Fill=—","Direction=H","UseDPDF=Y")</f>
        <v>-186.25399999999999</v>
      </c>
      <c r="L18" s="16">
        <f>_xll.BDH("ALNY US Equity","IS_OPER_INC","FQ2 2021","FQ2 2021","Currency=USD","Period=FQ","BEST_FPERIOD_OVERRIDE=FQ","FILING_STATUS=MR","SCALING_FORMAT=MLN","FA_ADJUSTED=Adjusted","Sort=A","Dates=H","DateFormat=P","Fill=—","Direction=H","UseDPDF=Y")</f>
        <v>-146.16</v>
      </c>
      <c r="M18" s="16">
        <f>_xll.BDH("ALNY US Equity","IS_OPER_INC","FQ3 2021","FQ3 2021","Currency=USD","Period=FQ","BEST_FPERIOD_OVERRIDE=FQ","FILING_STATUS=MR","SCALING_FORMAT=MLN","FA_ADJUSTED=Adjusted","Sort=A","Dates=H","DateFormat=P","Fill=—","Direction=H","UseDPDF=Y")</f>
        <v>-171.67699999999999</v>
      </c>
      <c r="N18" s="16">
        <f>_xll.BDH("ALNY US Equity","IS_OPER_INC","FQ4 2021","FQ4 2021","Currency=USD","Period=FQ","BEST_FPERIOD_OVERRIDE=FQ","FILING_STATUS=MR","SCALING_FORMAT=MLN","FA_ADJUSTED=Adjusted","Sort=A","Dates=H","DateFormat=P","Fill=—","Direction=H","UseDPDF=Y")</f>
        <v>-194.56100000000001</v>
      </c>
      <c r="O18" s="16">
        <f>_xll.BDH("ALNY US Equity","IS_OPER_INC","FQ1 2022","FQ1 2022","Currency=USD","Period=FQ","BEST_FPERIOD_OVERRIDE=FQ","FILING_STATUS=MR","SCALING_FORMAT=MLN","FA_ADJUSTED=Adjusted","Sort=A","Dates=H","DateFormat=P","Fill=—","Direction=H","UseDPDF=Y")</f>
        <v>-146.732</v>
      </c>
      <c r="P18" s="16">
        <f>_xll.BDH("ALNY US Equity","IS_OPER_INC","FQ2 2022","FQ2 2022","Currency=USD","Period=FQ","BEST_FPERIOD_OVERRIDE=FQ","FILING_STATUS=MR","SCALING_FORMAT=MLN","FA_ADJUSTED=Adjusted","Sort=A","Dates=H","DateFormat=P","Fill=—","Direction=H","UseDPDF=Y")</f>
        <v>-191.68600000000001</v>
      </c>
      <c r="Q18" s="16">
        <f>_xll.BDH("ALNY US Equity","IS_OPER_INC","FQ3 2022","FQ3 2022","Currency=USD","Period=FQ","BEST_FPERIOD_OVERRIDE=FQ","FILING_STATUS=MR","SCALING_FORMAT=MLN","FA_ADJUSTED=Adjusted","Sort=A","Dates=H","DateFormat=P","Fill=—","Direction=H","UseDPDF=Y")</f>
        <v>-258.04000000000002</v>
      </c>
      <c r="R18" s="16">
        <f>_xll.BDH("ALNY US Equity","IS_OPER_INC","FQ4 2022","FQ4 2022","Currency=USD","Period=FQ","BEST_FPERIOD_OVERRIDE=FQ","FILING_STATUS=MR","SCALING_FORMAT=MLN","FA_ADJUSTED=Adjusted","Sort=A","Dates=H","DateFormat=P","Fill=—","Direction=H","UseDPDF=Y")</f>
        <v>-188.614</v>
      </c>
      <c r="S18" s="16">
        <f>_xll.BDH("ALNY US Equity","IS_OPER_INC","FQ1 2023","FQ1 2023","Currency=USD","Period=FQ","BEST_FPERIOD_OVERRIDE=FQ","FILING_STATUS=MR","SCALING_FORMAT=MLN","FA_ADJUSTED=Adjusted","Sort=A","Dates=H","DateFormat=P","Fill=—","Direction=H","UseDPDF=Y")</f>
        <v>-149.80699999999999</v>
      </c>
      <c r="T18" s="16">
        <f>_xll.BDH("ALNY US Equity","IS_OPER_INC","FQ2 2023","FQ2 2023","Currency=USD","Period=FQ","BEST_FPERIOD_OVERRIDE=FQ","FILING_STATUS=MR","SCALING_FORMAT=MLN","FA_ADJUSTED=Adjusted","Sort=A","Dates=H","DateFormat=P","Fill=—","Direction=H","UseDPDF=Y")</f>
        <v>-229.83099999999999</v>
      </c>
      <c r="U18" s="16">
        <f>_xll.BDH("ALNY US Equity","IS_OPER_INC","FQ3 2023","FQ3 2023","Currency=USD","Period=FQ","BEST_FPERIOD_OVERRIDE=FQ","FILING_STATUS=MR","SCALING_FORMAT=MLN","FA_ADJUSTED=Adjusted","Sort=A","Dates=H","DateFormat=P","Fill=—","Direction=H","UseDPDF=Y")</f>
        <v>213.86699999999999</v>
      </c>
      <c r="V18" s="16">
        <f>_xll.BDH("ALNY US Equity","IS_OPER_INC","FQ4 2023","FQ4 2023","Currency=USD","Period=FQ","BEST_FPERIOD_OVERRIDE=FQ","FILING_STATUS=MR","SCALING_FORMAT=MLN","FA_ADJUSTED=Adjusted","Sort=A","Dates=H","DateFormat=P","Fill=—","Direction=H","UseDPDF=Y")</f>
        <v>-116.404</v>
      </c>
      <c r="W18" s="16">
        <f>_xll.BDH("ALNY US Equity","IS_OPER_INC","FQ1 2024","FQ1 2024","Currency=USD","Period=FQ","BEST_FPERIOD_OVERRIDE=FQ","FILING_STATUS=MR","SCALING_FORMAT=MLN","FA_ADJUSTED=Adjusted","Sort=A","Dates=H","DateFormat=P","Fill=—","Direction=H","UseDPDF=Y")</f>
        <v>-43.435000000000002</v>
      </c>
      <c r="X18" s="16">
        <f>_xll.BDH("ALNY US Equity","IS_OPER_INC","FQ2 2024","FQ2 2024","Currency=USD","Period=FQ","BEST_FPERIOD_OVERRIDE=FQ","FILING_STATUS=MR","SCALING_FORMAT=MLN","FA_ADJUSTED=Adjusted","Sort=A","Dates=H","DateFormat=P","Fill=—","Direction=H","UseDPDF=Y")</f>
        <v>48.613999999999997</v>
      </c>
      <c r="Y18" s="16">
        <f>_xll.BDH("ALNY US Equity","IS_OPER_INC","FQ3 2024","FQ3 2024","Currency=USD","Period=FQ","BEST_FPERIOD_OVERRIDE=FQ","FILING_STATUS=MR","SCALING_FORMAT=MLN","FA_ADJUSTED=Adjusted","Sort=A","Dates=H","DateFormat=P","Fill=—","Direction=H","UseDPDF=Y")</f>
        <v>-76.905000000000001</v>
      </c>
      <c r="Z18" s="16">
        <f>_xll.BDH("ALNY US Equity","IS_OPER_INC","FQ4 2024","FQ4 2024","Currency=USD","Period=FQ","BEST_FPERIOD_OVERRIDE=FQ","FILING_STATUS=MR","SCALING_FORMAT=MLN","FA_ADJUSTED=Adjusted","Sort=A","Dates=H","DateFormat=P","Fill=—","Direction=H","UseDPDF=Y")</f>
        <v>-105.15900000000001</v>
      </c>
    </row>
    <row r="19" spans="1:26" x14ac:dyDescent="0.25">
      <c r="A19" s="10" t="s">
        <v>79</v>
      </c>
      <c r="B19" s="10" t="s">
        <v>80</v>
      </c>
      <c r="C19" s="13">
        <f>_xll.BDH("ALNY US Equity","IS_NONOP_INCOME_LOSS","FQ1 2019","FQ1 2019","Currency=USD","Period=FQ","BEST_FPERIOD_OVERRIDE=FQ","FILING_STATUS=MR","SCALING_FORMAT=MLN","FA_ADJUSTED=Adjusted","Sort=A","Dates=H","DateFormat=P","Fill=—","Direction=H","UseDPDF=Y")</f>
        <v>-7.5679999999999996</v>
      </c>
      <c r="D19" s="13">
        <f>_xll.BDH("ALNY US Equity","IS_NONOP_INCOME_LOSS","FQ2 2019","FQ2 2019","Currency=USD","Period=FQ","BEST_FPERIOD_OVERRIDE=FQ","FILING_STATUS=MR","SCALING_FORMAT=MLN","FA_ADJUSTED=Adjusted","Sort=A","Dates=H","DateFormat=P","Fill=—","Direction=H","UseDPDF=Y")</f>
        <v>-8.3279999999999994</v>
      </c>
      <c r="E19" s="13">
        <f>_xll.BDH("ALNY US Equity","IS_NONOP_INCOME_LOSS","FQ3 2019","FQ3 2019","Currency=USD","Period=FQ","BEST_FPERIOD_OVERRIDE=FQ","FILING_STATUS=MR","SCALING_FORMAT=MLN","FA_ADJUSTED=Adjusted","Sort=A","Dates=H","DateFormat=P","Fill=—","Direction=H","UseDPDF=Y")</f>
        <v>-7.37</v>
      </c>
      <c r="F19" s="13">
        <f>_xll.BDH("ALNY US Equity","IS_NONOP_INCOME_LOSS","FQ4 2019","FQ4 2019","Currency=USD","Period=FQ","BEST_FPERIOD_OVERRIDE=FQ","FILING_STATUS=MR","SCALING_FORMAT=MLN","FA_ADJUSTED=Adjusted","Sort=A","Dates=H","DateFormat=P","Fill=—","Direction=H","UseDPDF=Y")</f>
        <v>-7.2279999999999998</v>
      </c>
      <c r="G19" s="13">
        <f>_xll.BDH("ALNY US Equity","IS_NONOP_INCOME_LOSS","FQ1 2020","FQ1 2020","Currency=USD","Period=FQ","BEST_FPERIOD_OVERRIDE=FQ","FILING_STATUS=MR","SCALING_FORMAT=MLN","FA_ADJUSTED=Adjusted","Sort=A","Dates=H","DateFormat=P","Fill=—","Direction=H","UseDPDF=Y")</f>
        <v>-4.4009999999999998</v>
      </c>
      <c r="H19" s="13">
        <f>_xll.BDH("ALNY US Equity","IS_NONOP_INCOME_LOSS","FQ2 2020","FQ2 2020","Currency=USD","Period=FQ","BEST_FPERIOD_OVERRIDE=FQ","FILING_STATUS=MR","SCALING_FORMAT=MLN","FA_ADJUSTED=Adjusted","Sort=A","Dates=H","DateFormat=P","Fill=—","Direction=H","UseDPDF=Y")</f>
        <v>36.359400000000001</v>
      </c>
      <c r="I19" s="13">
        <f>_xll.BDH("ALNY US Equity","IS_NONOP_INCOME_LOSS","FQ3 2020","FQ3 2020","Currency=USD","Period=FQ","BEST_FPERIOD_OVERRIDE=FQ","FILING_STATUS=MR","SCALING_FORMAT=MLN","FA_ADJUSTED=Adjusted","Sort=A","Dates=H","DateFormat=P","Fill=—","Direction=H","UseDPDF=Y")</f>
        <v>24.236000000000001</v>
      </c>
      <c r="J19" s="13">
        <f>_xll.BDH("ALNY US Equity","IS_NONOP_INCOME_LOSS","FQ4 2020","FQ4 2020","Currency=USD","Period=FQ","BEST_FPERIOD_OVERRIDE=FQ","FILING_STATUS=MR","SCALING_FORMAT=MLN","FA_ADJUSTED=Adjusted","Sort=A","Dates=H","DateFormat=P","Fill=—","Direction=H","UseDPDF=Y")</f>
        <v>33.447899999999997</v>
      </c>
      <c r="K19" s="13">
        <f>_xll.BDH("ALNY US Equity","IS_NONOP_INCOME_LOSS","FQ1 2021","FQ1 2021","Currency=USD","Period=FQ","BEST_FPERIOD_OVERRIDE=FQ","FILING_STATUS=MR","SCALING_FORMAT=MLN","FA_ADJUSTED=Adjusted","Sort=A","Dates=H","DateFormat=P","Fill=—","Direction=H","UseDPDF=Y")</f>
        <v>60.036999999999999</v>
      </c>
      <c r="L19" s="13">
        <f>_xll.BDH("ALNY US Equity","IS_NONOP_INCOME_LOSS","FQ2 2021","FQ2 2021","Currency=USD","Period=FQ","BEST_FPERIOD_OVERRIDE=FQ","FILING_STATUS=MR","SCALING_FORMAT=MLN","FA_ADJUSTED=Adjusted","Sort=A","Dates=H","DateFormat=P","Fill=—","Direction=H","UseDPDF=Y")</f>
        <v>36.558300000000003</v>
      </c>
      <c r="M19" s="13">
        <f>_xll.BDH("ALNY US Equity","IS_NONOP_INCOME_LOSS","FQ3 2021","FQ3 2021","Currency=USD","Period=FQ","BEST_FPERIOD_OVERRIDE=FQ","FILING_STATUS=MR","SCALING_FORMAT=MLN","FA_ADJUSTED=Adjusted","Sort=A","Dates=H","DateFormat=P","Fill=—","Direction=H","UseDPDF=Y")</f>
        <v>41.25</v>
      </c>
      <c r="N19" s="13">
        <f>_xll.BDH("ALNY US Equity","IS_NONOP_INCOME_LOSS","FQ4 2021","FQ4 2021","Currency=USD","Period=FQ","BEST_FPERIOD_OVERRIDE=FQ","FILING_STATUS=MR","SCALING_FORMAT=MLN","FA_ADJUSTED=Adjusted","Sort=A","Dates=H","DateFormat=P","Fill=—","Direction=H","UseDPDF=Y")</f>
        <v>60.162999999999997</v>
      </c>
      <c r="O19" s="13">
        <f>_xll.BDH("ALNY US Equity","IS_NONOP_INCOME_LOSS","FQ1 2022","FQ1 2022","Currency=USD","Period=FQ","BEST_FPERIOD_OVERRIDE=FQ","FILING_STATUS=MR","SCALING_FORMAT=MLN","FA_ADJUSTED=Adjusted","Sort=A","Dates=H","DateFormat=P","Fill=—","Direction=H","UseDPDF=Y")</f>
        <v>61.463000000000001</v>
      </c>
      <c r="P19" s="13">
        <f>_xll.BDH("ALNY US Equity","IS_NONOP_INCOME_LOSS","FQ2 2022","FQ2 2022","Currency=USD","Period=FQ","BEST_FPERIOD_OVERRIDE=FQ","FILING_STATUS=MR","SCALING_FORMAT=MLN","FA_ADJUSTED=Adjusted","Sort=A","Dates=H","DateFormat=P","Fill=—","Direction=H","UseDPDF=Y")</f>
        <v>81.89</v>
      </c>
      <c r="Q19" s="13">
        <f>_xll.BDH("ALNY US Equity","IS_NONOP_INCOME_LOSS","FQ3 2022","FQ3 2022","Currency=USD","Period=FQ","BEST_FPERIOD_OVERRIDE=FQ","FILING_STATUS=MR","SCALING_FORMAT=MLN","FA_ADJUSTED=Adjusted","Sort=A","Dates=H","DateFormat=P","Fill=—","Direction=H","UseDPDF=Y")</f>
        <v>63.466999999999999</v>
      </c>
      <c r="R19" s="13">
        <f>_xll.BDH("ALNY US Equity","IS_NONOP_INCOME_LOSS","FQ4 2022","FQ4 2022","Currency=USD","Period=FQ","BEST_FPERIOD_OVERRIDE=FQ","FILING_STATUS=MR","SCALING_FORMAT=MLN","FA_ADJUSTED=Adjusted","Sort=A","Dates=H","DateFormat=P","Fill=—","Direction=H","UseDPDF=Y")</f>
        <v>25.202999999999999</v>
      </c>
      <c r="S19" s="13">
        <f>_xll.BDH("ALNY US Equity","IS_NONOP_INCOME_LOSS","FQ1 2023","FQ1 2023","Currency=USD","Period=FQ","BEST_FPERIOD_OVERRIDE=FQ","FILING_STATUS=MR","SCALING_FORMAT=MLN","FA_ADJUSTED=Adjusted","Sort=A","Dates=H","DateFormat=P","Fill=—","Direction=H","UseDPDF=Y")</f>
        <v>20.288</v>
      </c>
      <c r="T19" s="13">
        <f>_xll.BDH("ALNY US Equity","IS_NONOP_INCOME_LOSS","FQ2 2023","FQ2 2023","Currency=USD","Period=FQ","BEST_FPERIOD_OVERRIDE=FQ","FILING_STATUS=MR","SCALING_FORMAT=MLN","FA_ADJUSTED=Adjusted","Sort=A","Dates=H","DateFormat=P","Fill=—","Direction=H","UseDPDF=Y")</f>
        <v>45.777999999999999</v>
      </c>
      <c r="U19" s="13">
        <f>_xll.BDH("ALNY US Equity","IS_NONOP_INCOME_LOSS","FQ3 2023","FQ3 2023","Currency=USD","Period=FQ","BEST_FPERIOD_OVERRIDE=FQ","FILING_STATUS=MR","SCALING_FORMAT=MLN","FA_ADJUSTED=Adjusted","Sort=A","Dates=H","DateFormat=P","Fill=—","Direction=H","UseDPDF=Y")</f>
        <v>46.281999999999996</v>
      </c>
      <c r="V19" s="13">
        <f>_xll.BDH("ALNY US Equity","IS_NONOP_INCOME_LOSS","FQ4 2023","FQ4 2023","Currency=USD","Period=FQ","BEST_FPERIOD_OVERRIDE=FQ","FILING_STATUS=MR","SCALING_FORMAT=MLN","FA_ADJUSTED=Adjusted","Sort=A","Dates=H","DateFormat=P","Fill=—","Direction=H","UseDPDF=Y")</f>
        <v>22.05</v>
      </c>
      <c r="W19" s="13">
        <f>_xll.BDH("ALNY US Equity","IS_NONOP_INCOME_LOSS","FQ1 2024","FQ1 2024","Currency=USD","Period=FQ","BEST_FPERIOD_OVERRIDE=FQ","FILING_STATUS=MR","SCALING_FORMAT=MLN","FA_ADJUSTED=Adjusted","Sort=A","Dates=H","DateFormat=P","Fill=—","Direction=H","UseDPDF=Y")</f>
        <v>20.23</v>
      </c>
      <c r="X19" s="13">
        <f>_xll.BDH("ALNY US Equity","IS_NONOP_INCOME_LOSS","FQ2 2024","FQ2 2024","Currency=USD","Period=FQ","BEST_FPERIOD_OVERRIDE=FQ","FILING_STATUS=MR","SCALING_FORMAT=MLN","FA_ADJUSTED=Adjusted","Sort=A","Dates=H","DateFormat=P","Fill=—","Direction=H","UseDPDF=Y")</f>
        <v>58.414000000000001</v>
      </c>
      <c r="Y19" s="13">
        <f>_xll.BDH("ALNY US Equity","IS_NONOP_INCOME_LOSS","FQ3 2024","FQ3 2024","Currency=USD","Period=FQ","BEST_FPERIOD_OVERRIDE=FQ","FILING_STATUS=MR","SCALING_FORMAT=MLN","FA_ADJUSTED=Adjusted","Sort=A","Dates=H","DateFormat=P","Fill=—","Direction=H","UseDPDF=Y")</f>
        <v>30.190999999999999</v>
      </c>
      <c r="Z19" s="13">
        <f>_xll.BDH("ALNY US Equity","IS_NONOP_INCOME_LOSS","FQ4 2024","FQ4 2024","Currency=USD","Period=FQ","BEST_FPERIOD_OVERRIDE=FQ","FILING_STATUS=MR","SCALING_FORMAT=MLN","FA_ADJUSTED=Adjusted","Sort=A","Dates=H","DateFormat=P","Fill=—","Direction=H","UseDPDF=Y")</f>
        <v>88.632999999999996</v>
      </c>
    </row>
    <row r="20" spans="1:26" x14ac:dyDescent="0.25">
      <c r="A20" s="10" t="s">
        <v>81</v>
      </c>
      <c r="B20" s="10" t="s">
        <v>82</v>
      </c>
      <c r="C20" s="13" t="str">
        <f>_xll.BDH("ALNY US Equity","IS_NET_INTEREST_EXPENSE","FQ1 2019","FQ1 2019","Currency=USD","Period=FQ","BEST_FPERIOD_OVERRIDE=FQ","FILING_STATUS=MR","SCALING_FORMAT=MLN","FA_ADJUSTED=Adjusted","Sort=A","Dates=H","DateFormat=P","Fill=—","Direction=H","UseDPDF=Y")</f>
        <v>—</v>
      </c>
      <c r="D20" s="13" t="str">
        <f>_xll.BDH("ALNY US Equity","IS_NET_INTEREST_EXPENSE","FQ2 2019","FQ2 2019","Currency=USD","Period=FQ","BEST_FPERIOD_OVERRIDE=FQ","FILING_STATUS=MR","SCALING_FORMAT=MLN","FA_ADJUSTED=Adjusted","Sort=A","Dates=H","DateFormat=P","Fill=—","Direction=H","UseDPDF=Y")</f>
        <v>—</v>
      </c>
      <c r="E20" s="13" t="str">
        <f>_xll.BDH("ALNY US Equity","IS_NET_INTEREST_EXPENSE","FQ3 2019","FQ3 2019","Currency=USD","Period=FQ","BEST_FPERIOD_OVERRIDE=FQ","FILING_STATUS=MR","SCALING_FORMAT=MLN","FA_ADJUSTED=Adjusted","Sort=A","Dates=H","DateFormat=P","Fill=—","Direction=H","UseDPDF=Y")</f>
        <v>—</v>
      </c>
      <c r="F20" s="13" t="str">
        <f>_xll.BDH("ALNY US Equity","IS_NET_INTEREST_EXPENSE","FQ4 2019","FQ4 2019","Currency=USD","Period=FQ","BEST_FPERIOD_OVERRIDE=FQ","FILING_STATUS=MR","SCALING_FORMAT=MLN","FA_ADJUSTED=Adjusted","Sort=A","Dates=H","DateFormat=P","Fill=—","Direction=H","UseDPDF=Y")</f>
        <v>—</v>
      </c>
      <c r="G20" s="13" t="str">
        <f>_xll.BDH("ALNY US Equity","IS_NET_INTEREST_EXPENSE","FQ1 2020","FQ1 2020","Currency=USD","Period=FQ","BEST_FPERIOD_OVERRIDE=FQ","FILING_STATUS=MR","SCALING_FORMAT=MLN","FA_ADJUSTED=Adjusted","Sort=A","Dates=H","DateFormat=P","Fill=—","Direction=H","UseDPDF=Y")</f>
        <v>—</v>
      </c>
      <c r="H20" s="13">
        <f>_xll.BDH("ALNY US Equity","IS_NET_INTEREST_EXPENSE","FQ2 2020","FQ2 2020","Currency=USD","Period=FQ","BEST_FPERIOD_OVERRIDE=FQ","FILING_STATUS=MR","SCALING_FORMAT=MLN","FA_ADJUSTED=Adjusted","Sort=A","Dates=H","DateFormat=P","Fill=—","Direction=H","UseDPDF=Y")</f>
        <v>24.082999999999998</v>
      </c>
      <c r="I20" s="13">
        <f>_xll.BDH("ALNY US Equity","IS_NET_INTEREST_EXPENSE","FQ3 2020","FQ3 2020","Currency=USD","Period=FQ","BEST_FPERIOD_OVERRIDE=FQ","FILING_STATUS=MR","SCALING_FORMAT=MLN","FA_ADJUSTED=Adjusted","Sort=A","Dates=H","DateFormat=P","Fill=—","Direction=H","UseDPDF=Y")</f>
        <v>26.658999999999999</v>
      </c>
      <c r="J20" s="13">
        <f>_xll.BDH("ALNY US Equity","IS_NET_INTEREST_EXPENSE","FQ4 2020","FQ4 2020","Currency=USD","Period=FQ","BEST_FPERIOD_OVERRIDE=FQ","FILING_STATUS=MR","SCALING_FORMAT=MLN","FA_ADJUSTED=Adjusted","Sort=A","Dates=H","DateFormat=P","Fill=—","Direction=H","UseDPDF=Y")</f>
        <v>27.425000000000001</v>
      </c>
      <c r="K20" s="13">
        <f>_xll.BDH("ALNY US Equity","IS_NET_INTEREST_EXPENSE","FQ1 2021","FQ1 2021","Currency=USD","Period=FQ","BEST_FPERIOD_OVERRIDE=FQ","FILING_STATUS=MR","SCALING_FORMAT=MLN","FA_ADJUSTED=Adjusted","Sort=A","Dates=H","DateFormat=P","Fill=—","Direction=H","UseDPDF=Y")</f>
        <v>32.064999999999998</v>
      </c>
      <c r="L20" s="13">
        <f>_xll.BDH("ALNY US Equity","IS_NET_INTEREST_EXPENSE","FQ2 2021","FQ2 2021","Currency=USD","Period=FQ","BEST_FPERIOD_OVERRIDE=FQ","FILING_STATUS=MR","SCALING_FORMAT=MLN","FA_ADJUSTED=Adjusted","Sort=A","Dates=H","DateFormat=P","Fill=—","Direction=H","UseDPDF=Y")</f>
        <v>33.006999999999998</v>
      </c>
      <c r="M20" s="13">
        <f>_xll.BDH("ALNY US Equity","IS_NET_INTEREST_EXPENSE","FQ3 2021","FQ3 2021","Currency=USD","Period=FQ","BEST_FPERIOD_OVERRIDE=FQ","FILING_STATUS=MR","SCALING_FORMAT=MLN","FA_ADJUSTED=Adjusted","Sort=A","Dates=H","DateFormat=P","Fill=—","Direction=H","UseDPDF=Y")</f>
        <v>40.048999999999999</v>
      </c>
      <c r="N20" s="13">
        <f>_xll.BDH("ALNY US Equity","IS_NET_INTEREST_EXPENSE","FQ4 2021","FQ4 2021","Currency=USD","Period=FQ","BEST_FPERIOD_OVERRIDE=FQ","FILING_STATUS=MR","SCALING_FORMAT=MLN","FA_ADJUSTED=Adjusted","Sort=A","Dates=H","DateFormat=P","Fill=—","Direction=H","UseDPDF=Y")</f>
        <v>36.320999999999998</v>
      </c>
      <c r="O20" s="13">
        <f>_xll.BDH("ALNY US Equity","IS_NET_INTEREST_EXPENSE","FQ1 2022","FQ1 2022","Currency=USD","Period=FQ","BEST_FPERIOD_OVERRIDE=FQ","FILING_STATUS=MR","SCALING_FORMAT=MLN","FA_ADJUSTED=Adjusted","Sort=A","Dates=H","DateFormat=P","Fill=—","Direction=H","UseDPDF=Y")</f>
        <v>41.35</v>
      </c>
      <c r="P20" s="13">
        <f>_xll.BDH("ALNY US Equity","IS_NET_INTEREST_EXPENSE","FQ2 2022","FQ2 2022","Currency=USD","Period=FQ","BEST_FPERIOD_OVERRIDE=FQ","FILING_STATUS=MR","SCALING_FORMAT=MLN","FA_ADJUSTED=Adjusted","Sort=A","Dates=H","DateFormat=P","Fill=—","Direction=H","UseDPDF=Y")</f>
        <v>42.609000000000002</v>
      </c>
      <c r="Q20" s="13">
        <f>_xll.BDH("ALNY US Equity","IS_NET_INTEREST_EXPENSE","FQ3 2022","FQ3 2022","Currency=USD","Period=FQ","BEST_FPERIOD_OVERRIDE=FQ","FILING_STATUS=MR","SCALING_FORMAT=MLN","FA_ADJUSTED=Adjusted","Sort=A","Dates=H","DateFormat=P","Fill=—","Direction=H","UseDPDF=Y")</f>
        <v>41.084000000000003</v>
      </c>
      <c r="R20" s="13">
        <f>_xll.BDH("ALNY US Equity","IS_NET_INTEREST_EXPENSE","FQ4 2022","FQ4 2022","Currency=USD","Period=FQ","BEST_FPERIOD_OVERRIDE=FQ","FILING_STATUS=MR","SCALING_FORMAT=MLN","FA_ADJUSTED=Adjusted","Sort=A","Dates=H","DateFormat=P","Fill=—","Direction=H","UseDPDF=Y")</f>
        <v>15.836</v>
      </c>
      <c r="S20" s="13">
        <f>_xll.BDH("ALNY US Equity","IS_NET_INTEREST_EXPENSE","FQ1 2023","FQ1 2023","Currency=USD","Period=FQ","BEST_FPERIOD_OVERRIDE=FQ","FILING_STATUS=MR","SCALING_FORMAT=MLN","FA_ADJUSTED=Adjusted","Sort=A","Dates=H","DateFormat=P","Fill=—","Direction=H","UseDPDF=Y")</f>
        <v>10.3</v>
      </c>
      <c r="T20" s="13">
        <f>_xll.BDH("ALNY US Equity","IS_NET_INTEREST_EXPENSE","FQ2 2023","FQ2 2023","Currency=USD","Period=FQ","BEST_FPERIOD_OVERRIDE=FQ","FILING_STATUS=MR","SCALING_FORMAT=MLN","FA_ADJUSTED=Adjusted","Sort=A","Dates=H","DateFormat=P","Fill=—","Direction=H","UseDPDF=Y")</f>
        <v>8.9600000000000009</v>
      </c>
      <c r="U20" s="13">
        <f>_xll.BDH("ALNY US Equity","IS_NET_INTEREST_EXPENSE","FQ3 2023","FQ3 2023","Currency=USD","Period=FQ","BEST_FPERIOD_OVERRIDE=FQ","FILING_STATUS=MR","SCALING_FORMAT=MLN","FA_ADJUSTED=Adjusted","Sort=A","Dates=H","DateFormat=P","Fill=—","Direction=H","UseDPDF=Y")</f>
        <v>5.468</v>
      </c>
      <c r="V20" s="13">
        <f>_xll.BDH("ALNY US Equity","IS_NET_INTEREST_EXPENSE","FQ4 2023","FQ4 2023","Currency=USD","Period=FQ","BEST_FPERIOD_OVERRIDE=FQ","FILING_STATUS=MR","SCALING_FORMAT=MLN","FA_ADJUSTED=Adjusted","Sort=A","Dates=H","DateFormat=P","Fill=—","Direction=H","UseDPDF=Y")</f>
        <v>0.93200000000000005</v>
      </c>
      <c r="W20" s="13">
        <f>_xll.BDH("ALNY US Equity","IS_NET_INTEREST_EXPENSE","FQ1 2024","FQ1 2024","Currency=USD","Period=FQ","BEST_FPERIOD_OVERRIDE=FQ","FILING_STATUS=MR","SCALING_FORMAT=MLN","FA_ADJUSTED=Adjusted","Sort=A","Dates=H","DateFormat=P","Fill=—","Direction=H","UseDPDF=Y")</f>
        <v>5.6079999999999997</v>
      </c>
      <c r="X20" s="13">
        <f>_xll.BDH("ALNY US Equity","IS_NET_INTEREST_EXPENSE","FQ2 2024","FQ2 2024","Currency=USD","Period=FQ","BEST_FPERIOD_OVERRIDE=FQ","FILING_STATUS=MR","SCALING_FORMAT=MLN","FA_ADJUSTED=Adjusted","Sort=A","Dates=H","DateFormat=P","Fill=—","Direction=H","UseDPDF=Y")</f>
        <v>4.0759999999999996</v>
      </c>
      <c r="Y20" s="13">
        <f>_xll.BDH("ALNY US Equity","IS_NET_INTEREST_EXPENSE","FQ3 2024","FQ3 2024","Currency=USD","Period=FQ","BEST_FPERIOD_OVERRIDE=FQ","FILING_STATUS=MR","SCALING_FORMAT=MLN","FA_ADJUSTED=Adjusted","Sort=A","Dates=H","DateFormat=P","Fill=—","Direction=H","UseDPDF=Y")</f>
        <v>2.23</v>
      </c>
      <c r="Z20" s="13">
        <f>_xll.BDH("ALNY US Equity","IS_NET_INTEREST_EXPENSE","FQ4 2024","FQ4 2024","Currency=USD","Period=FQ","BEST_FPERIOD_OVERRIDE=FQ","FILING_STATUS=MR","SCALING_FORMAT=MLN","FA_ADJUSTED=Adjusted","Sort=A","Dates=H","DateFormat=P","Fill=—","Direction=H","UseDPDF=Y")</f>
        <v>7.952</v>
      </c>
    </row>
    <row r="21" spans="1:26" x14ac:dyDescent="0.25">
      <c r="A21" s="11" t="s">
        <v>83</v>
      </c>
      <c r="B21" s="11" t="s">
        <v>84</v>
      </c>
      <c r="C21" s="18" t="str">
        <f>_xll.BDH("ALNY US Equity","IS_INT_EXPENSE","FQ1 2019","FQ1 2019","Currency=USD","Period=FQ","BEST_FPERIOD_OVERRIDE=FQ","FILING_STATUS=MR","SCALING_FORMAT=MLN","FA_ADJUSTED=Adjusted","Sort=A","Dates=H","DateFormat=P","Fill=—","Direction=H","UseDPDF=Y")</f>
        <v>—</v>
      </c>
      <c r="D21" s="18" t="str">
        <f>_xll.BDH("ALNY US Equity","IS_INT_EXPENSE","FQ2 2019","FQ2 2019","Currency=USD","Period=FQ","BEST_FPERIOD_OVERRIDE=FQ","FILING_STATUS=MR","SCALING_FORMAT=MLN","FA_ADJUSTED=Adjusted","Sort=A","Dates=H","DateFormat=P","Fill=—","Direction=H","UseDPDF=Y")</f>
        <v>—</v>
      </c>
      <c r="E21" s="18" t="str">
        <f>_xll.BDH("ALNY US Equity","IS_INT_EXPENSE","FQ3 2019","FQ3 2019","Currency=USD","Period=FQ","BEST_FPERIOD_OVERRIDE=FQ","FILING_STATUS=MR","SCALING_FORMAT=MLN","FA_ADJUSTED=Adjusted","Sort=A","Dates=H","DateFormat=P","Fill=—","Direction=H","UseDPDF=Y")</f>
        <v>—</v>
      </c>
      <c r="F21" s="18" t="str">
        <f>_xll.BDH("ALNY US Equity","IS_INT_EXPENSE","FQ4 2019","FQ4 2019","Currency=USD","Period=FQ","BEST_FPERIOD_OVERRIDE=FQ","FILING_STATUS=MR","SCALING_FORMAT=MLN","FA_ADJUSTED=Adjusted","Sort=A","Dates=H","DateFormat=P","Fill=—","Direction=H","UseDPDF=Y")</f>
        <v>—</v>
      </c>
      <c r="G21" s="18" t="str">
        <f>_xll.BDH("ALNY US Equity","IS_INT_EXPENSE","FQ1 2020","FQ1 2020","Currency=USD","Period=FQ","BEST_FPERIOD_OVERRIDE=FQ","FILING_STATUS=MR","SCALING_FORMAT=MLN","FA_ADJUSTED=Adjusted","Sort=A","Dates=H","DateFormat=P","Fill=—","Direction=H","UseDPDF=Y")</f>
        <v>—</v>
      </c>
      <c r="H21" s="18">
        <f>_xll.BDH("ALNY US Equity","IS_INT_EXPENSE","FQ2 2020","FQ2 2020","Currency=USD","Period=FQ","BEST_FPERIOD_OVERRIDE=FQ","FILING_STATUS=MR","SCALING_FORMAT=MLN","FA_ADJUSTED=Adjusted","Sort=A","Dates=H","DateFormat=P","Fill=—","Direction=H","UseDPDF=Y")</f>
        <v>27.248000000000001</v>
      </c>
      <c r="I21" s="18">
        <f>_xll.BDH("ALNY US Equity","IS_INT_EXPENSE","FQ3 2020","FQ3 2020","Currency=USD","Period=FQ","BEST_FPERIOD_OVERRIDE=FQ","FILING_STATUS=MR","SCALING_FORMAT=MLN","FA_ADJUSTED=Adjusted","Sort=A","Dates=H","DateFormat=P","Fill=—","Direction=H","UseDPDF=Y")</f>
        <v>28.731000000000002</v>
      </c>
      <c r="J21" s="18">
        <f>_xll.BDH("ALNY US Equity","IS_INT_EXPENSE","FQ4 2020","FQ4 2020","Currency=USD","Period=FQ","BEST_FPERIOD_OVERRIDE=FQ","FILING_STATUS=MR","SCALING_FORMAT=MLN","FA_ADJUSTED=Adjusted","Sort=A","Dates=H","DateFormat=P","Fill=—","Direction=H","UseDPDF=Y")</f>
        <v>28.516999999999999</v>
      </c>
      <c r="K21" s="18">
        <f>_xll.BDH("ALNY US Equity","IS_INT_EXPENSE","FQ1 2021","FQ1 2021","Currency=USD","Period=FQ","BEST_FPERIOD_OVERRIDE=FQ","FILING_STATUS=MR","SCALING_FORMAT=MLN","FA_ADJUSTED=Adjusted","Sort=A","Dates=H","DateFormat=P","Fill=—","Direction=H","UseDPDF=Y")</f>
        <v>32.515000000000001</v>
      </c>
      <c r="L21" s="18">
        <f>_xll.BDH("ALNY US Equity","IS_INT_EXPENSE","FQ2 2021","FQ2 2021","Currency=USD","Period=FQ","BEST_FPERIOD_OVERRIDE=FQ","FILING_STATUS=MR","SCALING_FORMAT=MLN","FA_ADJUSTED=Adjusted","Sort=A","Dates=H","DateFormat=P","Fill=—","Direction=H","UseDPDF=Y")</f>
        <v>33.415999999999997</v>
      </c>
      <c r="M21" s="18">
        <f>_xll.BDH("ALNY US Equity","IS_INT_EXPENSE","FQ3 2021","FQ3 2021","Currency=USD","Period=FQ","BEST_FPERIOD_OVERRIDE=FQ","FILING_STATUS=MR","SCALING_FORMAT=MLN","FA_ADJUSTED=Adjusted","Sort=A","Dates=H","DateFormat=P","Fill=—","Direction=H","UseDPDF=Y")</f>
        <v>40.274000000000001</v>
      </c>
      <c r="N21" s="18">
        <f>_xll.BDH("ALNY US Equity","IS_INT_EXPENSE","FQ4 2021","FQ4 2021","Currency=USD","Period=FQ","BEST_FPERIOD_OVERRIDE=FQ","FILING_STATUS=MR","SCALING_FORMAT=MLN","FA_ADJUSTED=Adjusted","Sort=A","Dates=H","DateFormat=P","Fill=—","Direction=H","UseDPDF=Y")</f>
        <v>36.816000000000003</v>
      </c>
      <c r="O21" s="18">
        <f>_xll.BDH("ALNY US Equity","IS_INT_EXPENSE","FQ1 2022","FQ1 2022","Currency=USD","Period=FQ","BEST_FPERIOD_OVERRIDE=FQ","FILING_STATUS=MR","SCALING_FORMAT=MLN","FA_ADJUSTED=Adjusted","Sort=A","Dates=H","DateFormat=P","Fill=—","Direction=H","UseDPDF=Y")</f>
        <v>42.362000000000002</v>
      </c>
      <c r="P21" s="18">
        <f>_xll.BDH("ALNY US Equity","IS_INT_EXPENSE","FQ2 2022","FQ2 2022","Currency=USD","Period=FQ","BEST_FPERIOD_OVERRIDE=FQ","FILING_STATUS=MR","SCALING_FORMAT=MLN","FA_ADJUSTED=Adjusted","Sort=A","Dates=H","DateFormat=P","Fill=—","Direction=H","UseDPDF=Y")</f>
        <v>42.609000000000002</v>
      </c>
      <c r="Q21" s="18">
        <f>_xll.BDH("ALNY US Equity","IS_INT_EXPENSE","FQ3 2022","FQ3 2022","Currency=USD","Period=FQ","BEST_FPERIOD_OVERRIDE=FQ","FILING_STATUS=MR","SCALING_FORMAT=MLN","FA_ADJUSTED=Adjusted","Sort=A","Dates=H","DateFormat=P","Fill=—","Direction=H","UseDPDF=Y")</f>
        <v>41.084000000000003</v>
      </c>
      <c r="R21" s="18">
        <f>_xll.BDH("ALNY US Equity","IS_INT_EXPENSE","FQ4 2022","FQ4 2022","Currency=USD","Period=FQ","BEST_FPERIOD_OVERRIDE=FQ","FILING_STATUS=MR","SCALING_FORMAT=MLN","FA_ADJUSTED=Adjusted","Sort=A","Dates=H","DateFormat=P","Fill=—","Direction=H","UseDPDF=Y")</f>
        <v>29.913</v>
      </c>
      <c r="S21" s="18">
        <f>_xll.BDH("ALNY US Equity","IS_INT_EXPENSE","FQ1 2023","FQ1 2023","Currency=USD","Period=FQ","BEST_FPERIOD_OVERRIDE=FQ","FILING_STATUS=MR","SCALING_FORMAT=MLN","FA_ADJUSTED=Adjusted","Sort=A","Dates=H","DateFormat=P","Fill=—","Direction=H","UseDPDF=Y")</f>
        <v>28.954999999999998</v>
      </c>
      <c r="T21" s="18">
        <f>_xll.BDH("ALNY US Equity","IS_INT_EXPENSE","FQ2 2023","FQ2 2023","Currency=USD","Period=FQ","BEST_FPERIOD_OVERRIDE=FQ","FILING_STATUS=MR","SCALING_FORMAT=MLN","FA_ADJUSTED=Adjusted","Sort=A","Dates=H","DateFormat=P","Fill=—","Direction=H","UseDPDF=Y")</f>
        <v>30.035</v>
      </c>
      <c r="U21" s="18">
        <f>_xll.BDH("ALNY US Equity","IS_INT_EXPENSE","FQ3 2023","FQ3 2023","Currency=USD","Period=FQ","BEST_FPERIOD_OVERRIDE=FQ","FILING_STATUS=MR","SCALING_FORMAT=MLN","FA_ADJUSTED=Adjusted","Sort=A","Dates=H","DateFormat=P","Fill=—","Direction=H","UseDPDF=Y")</f>
        <v>30.893000000000001</v>
      </c>
      <c r="V21" s="18">
        <f>_xll.BDH("ALNY US Equity","IS_INT_EXPENSE","FQ4 2023","FQ4 2023","Currency=USD","Period=FQ","BEST_FPERIOD_OVERRIDE=FQ","FILING_STATUS=MR","SCALING_FORMAT=MLN","FA_ADJUSTED=Adjusted","Sort=A","Dates=H","DateFormat=P","Fill=—","Direction=H","UseDPDF=Y")</f>
        <v>31.338000000000001</v>
      </c>
      <c r="W21" s="18">
        <f>_xll.BDH("ALNY US Equity","IS_INT_EXPENSE","FQ1 2024","FQ1 2024","Currency=USD","Period=FQ","BEST_FPERIOD_OVERRIDE=FQ","FILING_STATUS=MR","SCALING_FORMAT=MLN","FA_ADJUSTED=Adjusted","Sort=A","Dates=H","DateFormat=P","Fill=—","Direction=H","UseDPDF=Y")</f>
        <v>35.253</v>
      </c>
      <c r="X21" s="18">
        <f>_xll.BDH("ALNY US Equity","IS_INT_EXPENSE","FQ2 2024","FQ2 2024","Currency=USD","Period=FQ","BEST_FPERIOD_OVERRIDE=FQ","FILING_STATUS=MR","SCALING_FORMAT=MLN","FA_ADJUSTED=Adjusted","Sort=A","Dates=H","DateFormat=P","Fill=—","Direction=H","UseDPDF=Y")</f>
        <v>33.258000000000003</v>
      </c>
      <c r="Y21" s="18">
        <f>_xll.BDH("ALNY US Equity","IS_INT_EXPENSE","FQ3 2024","FQ3 2024","Currency=USD","Period=FQ","BEST_FPERIOD_OVERRIDE=FQ","FILING_STATUS=MR","SCALING_FORMAT=MLN","FA_ADJUSTED=Adjusted","Sort=A","Dates=H","DateFormat=P","Fill=—","Direction=H","UseDPDF=Y")</f>
        <v>34.375999999999998</v>
      </c>
      <c r="Z21" s="18">
        <f>_xll.BDH("ALNY US Equity","IS_INT_EXPENSE","FQ4 2024","FQ4 2024","Currency=USD","Period=FQ","BEST_FPERIOD_OVERRIDE=FQ","FILING_STATUS=MR","SCALING_FORMAT=MLN","FA_ADJUSTED=Adjusted","Sort=A","Dates=H","DateFormat=P","Fill=—","Direction=H","UseDPDF=Y")</f>
        <v>38.970999999999997</v>
      </c>
    </row>
    <row r="22" spans="1:26" x14ac:dyDescent="0.25">
      <c r="A22" s="11" t="s">
        <v>85</v>
      </c>
      <c r="B22" s="11" t="s">
        <v>86</v>
      </c>
      <c r="C22" s="18">
        <f>_xll.BDH("ALNY US Equity","IS_INT_INC","FQ1 2019","FQ1 2019","Currency=USD","Period=FQ","BEST_FPERIOD_OVERRIDE=FQ","FILING_STATUS=MR","SCALING_FORMAT=MLN","FA_ADJUSTED=Adjusted","Sort=A","Dates=H","DateFormat=P","Fill=—","Direction=H","UseDPDF=Y")</f>
        <v>7.5250000000000004</v>
      </c>
      <c r="D22" s="18">
        <f>_xll.BDH("ALNY US Equity","IS_INT_INC","FQ2 2019","FQ2 2019","Currency=USD","Period=FQ","BEST_FPERIOD_OVERRIDE=FQ","FILING_STATUS=MR","SCALING_FORMAT=MLN","FA_ADJUSTED=Adjusted","Sort=A","Dates=H","DateFormat=P","Fill=—","Direction=H","UseDPDF=Y")</f>
        <v>8.7810000000000006</v>
      </c>
      <c r="E22" s="18">
        <f>_xll.BDH("ALNY US Equity","IS_INT_INC","FQ3 2019","FQ3 2019","Currency=USD","Period=FQ","BEST_FPERIOD_OVERRIDE=FQ","FILING_STATUS=MR","SCALING_FORMAT=MLN","FA_ADJUSTED=Adjusted","Sort=A","Dates=H","DateFormat=P","Fill=—","Direction=H","UseDPDF=Y")</f>
        <v>9.8889999999999993</v>
      </c>
      <c r="F22" s="18">
        <f>_xll.BDH("ALNY US Equity","IS_INT_INC","FQ4 2019","FQ4 2019","Currency=USD","Period=FQ","BEST_FPERIOD_OVERRIDE=FQ","FILING_STATUS=MR","SCALING_FORMAT=MLN","FA_ADJUSTED=Adjusted","Sort=A","Dates=H","DateFormat=P","Fill=—","Direction=H","UseDPDF=Y")</f>
        <v>7.2530000000000001</v>
      </c>
      <c r="G22" s="18">
        <f>_xll.BDH("ALNY US Equity","IS_INT_INC","FQ1 2020","FQ1 2020","Currency=USD","Period=FQ","BEST_FPERIOD_OVERRIDE=FQ","FILING_STATUS=MR","SCALING_FORMAT=MLN","FA_ADJUSTED=Adjusted","Sort=A","Dates=H","DateFormat=P","Fill=—","Direction=H","UseDPDF=Y")</f>
        <v>5.48</v>
      </c>
      <c r="H22" s="18">
        <f>_xll.BDH("ALNY US Equity","IS_INT_INC","FQ2 2020","FQ2 2020","Currency=USD","Period=FQ","BEST_FPERIOD_OVERRIDE=FQ","FILING_STATUS=MR","SCALING_FORMAT=MLN","FA_ADJUSTED=Adjusted","Sort=A","Dates=H","DateFormat=P","Fill=—","Direction=H","UseDPDF=Y")</f>
        <v>3.165</v>
      </c>
      <c r="I22" s="18">
        <f>_xll.BDH("ALNY US Equity","IS_INT_INC","FQ3 2020","FQ3 2020","Currency=USD","Period=FQ","BEST_FPERIOD_OVERRIDE=FQ","FILING_STATUS=MR","SCALING_FORMAT=MLN","FA_ADJUSTED=Adjusted","Sort=A","Dates=H","DateFormat=P","Fill=—","Direction=H","UseDPDF=Y")</f>
        <v>2.0720000000000001</v>
      </c>
      <c r="J22" s="18">
        <f>_xll.BDH("ALNY US Equity","IS_INT_INC","FQ4 2020","FQ4 2020","Currency=USD","Period=FQ","BEST_FPERIOD_OVERRIDE=FQ","FILING_STATUS=MR","SCALING_FORMAT=MLN","FA_ADJUSTED=Adjusted","Sort=A","Dates=H","DateFormat=P","Fill=—","Direction=H","UseDPDF=Y")</f>
        <v>1.0920000000000001</v>
      </c>
      <c r="K22" s="18">
        <f>_xll.BDH("ALNY US Equity","IS_INT_INC","FQ1 2021","FQ1 2021","Currency=USD","Period=FQ","BEST_FPERIOD_OVERRIDE=FQ","FILING_STATUS=MR","SCALING_FORMAT=MLN","FA_ADJUSTED=Adjusted","Sort=A","Dates=H","DateFormat=P","Fill=—","Direction=H","UseDPDF=Y")</f>
        <v>0.45</v>
      </c>
      <c r="L22" s="18">
        <f>_xll.BDH("ALNY US Equity","IS_INT_INC","FQ2 2021","FQ2 2021","Currency=USD","Period=FQ","BEST_FPERIOD_OVERRIDE=FQ","FILING_STATUS=MR","SCALING_FORMAT=MLN","FA_ADJUSTED=Adjusted","Sort=A","Dates=H","DateFormat=P","Fill=—","Direction=H","UseDPDF=Y")</f>
        <v>0.40899999999999997</v>
      </c>
      <c r="M22" s="18">
        <f>_xll.BDH("ALNY US Equity","IS_INT_INC","FQ3 2021","FQ3 2021","Currency=USD","Period=FQ","BEST_FPERIOD_OVERRIDE=FQ","FILING_STATUS=MR","SCALING_FORMAT=MLN","FA_ADJUSTED=Adjusted","Sort=A","Dates=H","DateFormat=P","Fill=—","Direction=H","UseDPDF=Y")</f>
        <v>0.22500000000000001</v>
      </c>
      <c r="N22" s="18">
        <f>_xll.BDH("ALNY US Equity","IS_INT_INC","FQ4 2021","FQ4 2021","Currency=USD","Period=FQ","BEST_FPERIOD_OVERRIDE=FQ","FILING_STATUS=MR","SCALING_FORMAT=MLN","FA_ADJUSTED=Adjusted","Sort=A","Dates=H","DateFormat=P","Fill=—","Direction=H","UseDPDF=Y")</f>
        <v>0.495</v>
      </c>
      <c r="O22" s="18">
        <f>_xll.BDH("ALNY US Equity","IS_INT_INC","FQ1 2022","FQ1 2022","Currency=USD","Period=FQ","BEST_FPERIOD_OVERRIDE=FQ","FILING_STATUS=MR","SCALING_FORMAT=MLN","FA_ADJUSTED=Adjusted","Sort=A","Dates=H","DateFormat=P","Fill=—","Direction=H","UseDPDF=Y")</f>
        <v>1.012</v>
      </c>
      <c r="P22" s="18">
        <f>_xll.BDH("ALNY US Equity","IS_INT_INC","FQ2 2022","FQ2 2022","Currency=USD","Period=FQ","BEST_FPERIOD_OVERRIDE=FQ","FILING_STATUS=MR","SCALING_FORMAT=MLN","FA_ADJUSTED=Adjusted","Sort=A","Dates=H","DateFormat=P","Fill=—","Direction=H","UseDPDF=Y")</f>
        <v>0</v>
      </c>
      <c r="Q22" s="18">
        <f>_xll.BDH("ALNY US Equity","IS_INT_INC","FQ3 2022","FQ3 2022","Currency=USD","Period=FQ","BEST_FPERIOD_OVERRIDE=FQ","FILING_STATUS=MR","SCALING_FORMAT=MLN","FA_ADJUSTED=Adjusted","Sort=A","Dates=H","DateFormat=P","Fill=—","Direction=H","UseDPDF=Y")</f>
        <v>0</v>
      </c>
      <c r="R22" s="18">
        <f>_xll.BDH("ALNY US Equity","IS_INT_INC","FQ4 2022","FQ4 2022","Currency=USD","Period=FQ","BEST_FPERIOD_OVERRIDE=FQ","FILING_STATUS=MR","SCALING_FORMAT=MLN","FA_ADJUSTED=Adjusted","Sort=A","Dates=H","DateFormat=P","Fill=—","Direction=H","UseDPDF=Y")</f>
        <v>14.077</v>
      </c>
      <c r="S22" s="18">
        <f>_xll.BDH("ALNY US Equity","IS_INT_INC","FQ1 2023","FQ1 2023","Currency=USD","Period=FQ","BEST_FPERIOD_OVERRIDE=FQ","FILING_STATUS=MR","SCALING_FORMAT=MLN","FA_ADJUSTED=Adjusted","Sort=A","Dates=H","DateFormat=P","Fill=—","Direction=H","UseDPDF=Y")</f>
        <v>18.655000000000001</v>
      </c>
      <c r="T22" s="18">
        <f>_xll.BDH("ALNY US Equity","IS_INT_INC","FQ2 2023","FQ2 2023","Currency=USD","Period=FQ","BEST_FPERIOD_OVERRIDE=FQ","FILING_STATUS=MR","SCALING_FORMAT=MLN","FA_ADJUSTED=Adjusted","Sort=A","Dates=H","DateFormat=P","Fill=—","Direction=H","UseDPDF=Y")</f>
        <v>21.074999999999999</v>
      </c>
      <c r="U22" s="18">
        <f>_xll.BDH("ALNY US Equity","IS_INT_INC","FQ3 2023","FQ3 2023","Currency=USD","Period=FQ","BEST_FPERIOD_OVERRIDE=FQ","FILING_STATUS=MR","SCALING_FORMAT=MLN","FA_ADJUSTED=Adjusted","Sort=A","Dates=H","DateFormat=P","Fill=—","Direction=H","UseDPDF=Y")</f>
        <v>25.425000000000001</v>
      </c>
      <c r="V22" s="18">
        <f>_xll.BDH("ALNY US Equity","IS_INT_INC","FQ4 2023","FQ4 2023","Currency=USD","Period=FQ","BEST_FPERIOD_OVERRIDE=FQ","FILING_STATUS=MR","SCALING_FORMAT=MLN","FA_ADJUSTED=Adjusted","Sort=A","Dates=H","DateFormat=P","Fill=—","Direction=H","UseDPDF=Y")</f>
        <v>30.405999999999999</v>
      </c>
      <c r="W22" s="18">
        <f>_xll.BDH("ALNY US Equity","IS_INT_INC","FQ1 2024","FQ1 2024","Currency=USD","Period=FQ","BEST_FPERIOD_OVERRIDE=FQ","FILING_STATUS=MR","SCALING_FORMAT=MLN","FA_ADJUSTED=Adjusted","Sort=A","Dates=H","DateFormat=P","Fill=—","Direction=H","UseDPDF=Y")</f>
        <v>29.645</v>
      </c>
      <c r="X22" s="18">
        <f>_xll.BDH("ALNY US Equity","IS_INT_INC","FQ2 2024","FQ2 2024","Currency=USD","Period=FQ","BEST_FPERIOD_OVERRIDE=FQ","FILING_STATUS=MR","SCALING_FORMAT=MLN","FA_ADJUSTED=Adjusted","Sort=A","Dates=H","DateFormat=P","Fill=—","Direction=H","UseDPDF=Y")</f>
        <v>29.181999999999999</v>
      </c>
      <c r="Y22" s="18">
        <f>_xll.BDH("ALNY US Equity","IS_INT_INC","FQ3 2024","FQ3 2024","Currency=USD","Period=FQ","BEST_FPERIOD_OVERRIDE=FQ","FILING_STATUS=MR","SCALING_FORMAT=MLN","FA_ADJUSTED=Adjusted","Sort=A","Dates=H","DateFormat=P","Fill=—","Direction=H","UseDPDF=Y")</f>
        <v>32.146000000000001</v>
      </c>
      <c r="Z22" s="18">
        <f>_xll.BDH("ALNY US Equity","IS_INT_INC","FQ4 2024","FQ4 2024","Currency=USD","Period=FQ","BEST_FPERIOD_OVERRIDE=FQ","FILING_STATUS=MR","SCALING_FORMAT=MLN","FA_ADJUSTED=Adjusted","Sort=A","Dates=H","DateFormat=P","Fill=—","Direction=H","UseDPDF=Y")</f>
        <v>31.018999999999998</v>
      </c>
    </row>
    <row r="23" spans="1:26" x14ac:dyDescent="0.25">
      <c r="A23" s="10" t="s">
        <v>87</v>
      </c>
      <c r="B23" s="10" t="s">
        <v>88</v>
      </c>
      <c r="C23" s="13">
        <f>_xll.BDH("ALNY US Equity","IS_OTHER_NON_OPERATING_INC_LOSS","FQ1 2019","FQ1 2019","Currency=USD","Period=FQ","BEST_FPERIOD_OVERRIDE=FQ","FILING_STATUS=MR","SCALING_FORMAT=MLN","FA_ADJUSTED=Adjusted","Sort=A","Dates=H","DateFormat=P","Fill=—","Direction=H","UseDPDF=Y")</f>
        <v>-4.2999999999999997E-2</v>
      </c>
      <c r="D23" s="13">
        <f>_xll.BDH("ALNY US Equity","IS_OTHER_NON_OPERATING_INC_LOSS","FQ2 2019","FQ2 2019","Currency=USD","Period=FQ","BEST_FPERIOD_OVERRIDE=FQ","FILING_STATUS=MR","SCALING_FORMAT=MLN","FA_ADJUSTED=Adjusted","Sort=A","Dates=H","DateFormat=P","Fill=—","Direction=H","UseDPDF=Y")</f>
        <v>0.45300000000000001</v>
      </c>
      <c r="E23" s="13">
        <f>_xll.BDH("ALNY US Equity","IS_OTHER_NON_OPERATING_INC_LOSS","FQ3 2019","FQ3 2019","Currency=USD","Period=FQ","BEST_FPERIOD_OVERRIDE=FQ","FILING_STATUS=MR","SCALING_FORMAT=MLN","FA_ADJUSTED=Adjusted","Sort=A","Dates=H","DateFormat=P","Fill=—","Direction=H","UseDPDF=Y")</f>
        <v>2.5190000000000001</v>
      </c>
      <c r="F23" s="13">
        <f>_xll.BDH("ALNY US Equity","IS_OTHER_NON_OPERATING_INC_LOSS","FQ4 2019","FQ4 2019","Currency=USD","Period=FQ","BEST_FPERIOD_OVERRIDE=FQ","FILING_STATUS=MR","SCALING_FORMAT=MLN","FA_ADJUSTED=Adjusted","Sort=A","Dates=H","DateFormat=P","Fill=—","Direction=H","UseDPDF=Y")</f>
        <v>2.5000000000000001E-2</v>
      </c>
      <c r="G23" s="13">
        <f>_xll.BDH("ALNY US Equity","IS_OTHER_NON_OPERATING_INC_LOSS","FQ1 2020","FQ1 2020","Currency=USD","Period=FQ","BEST_FPERIOD_OVERRIDE=FQ","FILING_STATUS=MR","SCALING_FORMAT=MLN","FA_ADJUSTED=Adjusted","Sort=A","Dates=H","DateFormat=P","Fill=—","Direction=H","UseDPDF=Y")</f>
        <v>1.079</v>
      </c>
      <c r="H23" s="13">
        <f>_xll.BDH("ALNY US Equity","IS_OTHER_NON_OPERATING_INC_LOSS","FQ2 2020","FQ2 2020","Currency=USD","Period=FQ","BEST_FPERIOD_OVERRIDE=FQ","FILING_STATUS=MR","SCALING_FORMAT=MLN","FA_ADJUSTED=Adjusted","Sort=A","Dates=H","DateFormat=P","Fill=—","Direction=H","UseDPDF=Y")</f>
        <v>12.276400000000001</v>
      </c>
      <c r="I23" s="13">
        <f>_xll.BDH("ALNY US Equity","IS_OTHER_NON_OPERATING_INC_LOSS","FQ3 2020","FQ3 2020","Currency=USD","Period=FQ","BEST_FPERIOD_OVERRIDE=FQ","FILING_STATUS=MR","SCALING_FORMAT=MLN","FA_ADJUSTED=Adjusted","Sort=A","Dates=H","DateFormat=P","Fill=—","Direction=H","UseDPDF=Y")</f>
        <v>-2.423</v>
      </c>
      <c r="J23" s="13">
        <f>_xll.BDH("ALNY US Equity","IS_OTHER_NON_OPERATING_INC_LOSS","FQ4 2020","FQ4 2020","Currency=USD","Period=FQ","BEST_FPERIOD_OVERRIDE=FQ","FILING_STATUS=MR","SCALING_FORMAT=MLN","FA_ADJUSTED=Adjusted","Sort=A","Dates=H","DateFormat=P","Fill=—","Direction=H","UseDPDF=Y")</f>
        <v>6.0228999999999999</v>
      </c>
      <c r="K23" s="13">
        <f>_xll.BDH("ALNY US Equity","IS_OTHER_NON_OPERATING_INC_LOSS","FQ1 2021","FQ1 2021","Currency=USD","Period=FQ","BEST_FPERIOD_OVERRIDE=FQ","FILING_STATUS=MR","SCALING_FORMAT=MLN","FA_ADJUSTED=Adjusted","Sort=A","Dates=H","DateFormat=P","Fill=—","Direction=H","UseDPDF=Y")</f>
        <v>27.972000000000001</v>
      </c>
      <c r="L23" s="13">
        <f>_xll.BDH("ALNY US Equity","IS_OTHER_NON_OPERATING_INC_LOSS","FQ2 2021","FQ2 2021","Currency=USD","Period=FQ","BEST_FPERIOD_OVERRIDE=FQ","FILING_STATUS=MR","SCALING_FORMAT=MLN","FA_ADJUSTED=Adjusted","Sort=A","Dates=H","DateFormat=P","Fill=—","Direction=H","UseDPDF=Y")</f>
        <v>3.5512999999999999</v>
      </c>
      <c r="M23" s="13">
        <f>_xll.BDH("ALNY US Equity","IS_OTHER_NON_OPERATING_INC_LOSS","FQ3 2021","FQ3 2021","Currency=USD","Period=FQ","BEST_FPERIOD_OVERRIDE=FQ","FILING_STATUS=MR","SCALING_FORMAT=MLN","FA_ADJUSTED=Adjusted","Sort=A","Dates=H","DateFormat=P","Fill=—","Direction=H","UseDPDF=Y")</f>
        <v>1.2010000000000001</v>
      </c>
      <c r="N23" s="13">
        <f>_xll.BDH("ALNY US Equity","IS_OTHER_NON_OPERATING_INC_LOSS","FQ4 2021","FQ4 2021","Currency=USD","Period=FQ","BEST_FPERIOD_OVERRIDE=FQ","FILING_STATUS=MR","SCALING_FORMAT=MLN","FA_ADJUSTED=Adjusted","Sort=A","Dates=H","DateFormat=P","Fill=—","Direction=H","UseDPDF=Y")</f>
        <v>23.841999999999999</v>
      </c>
      <c r="O23" s="13">
        <f>_xll.BDH("ALNY US Equity","IS_OTHER_NON_OPERATING_INC_LOSS","FQ1 2022","FQ1 2022","Currency=USD","Period=FQ","BEST_FPERIOD_OVERRIDE=FQ","FILING_STATUS=MR","SCALING_FORMAT=MLN","FA_ADJUSTED=Adjusted","Sort=A","Dates=H","DateFormat=P","Fill=—","Direction=H","UseDPDF=Y")</f>
        <v>20.113</v>
      </c>
      <c r="P23" s="13">
        <f>_xll.BDH("ALNY US Equity","IS_OTHER_NON_OPERATING_INC_LOSS","FQ2 2022","FQ2 2022","Currency=USD","Period=FQ","BEST_FPERIOD_OVERRIDE=FQ","FILING_STATUS=MR","SCALING_FORMAT=MLN","FA_ADJUSTED=Adjusted","Sort=A","Dates=H","DateFormat=P","Fill=—","Direction=H","UseDPDF=Y")</f>
        <v>39.280999999999999</v>
      </c>
      <c r="Q23" s="13">
        <f>_xll.BDH("ALNY US Equity","IS_OTHER_NON_OPERATING_INC_LOSS","FQ3 2022","FQ3 2022","Currency=USD","Period=FQ","BEST_FPERIOD_OVERRIDE=FQ","FILING_STATUS=MR","SCALING_FORMAT=MLN","FA_ADJUSTED=Adjusted","Sort=A","Dates=H","DateFormat=P","Fill=—","Direction=H","UseDPDF=Y")</f>
        <v>22.382999999999999</v>
      </c>
      <c r="R23" s="13">
        <f>_xll.BDH("ALNY US Equity","IS_OTHER_NON_OPERATING_INC_LOSS","FQ4 2022","FQ4 2022","Currency=USD","Period=FQ","BEST_FPERIOD_OVERRIDE=FQ","FILING_STATUS=MR","SCALING_FORMAT=MLN","FA_ADJUSTED=Adjusted","Sort=A","Dates=H","DateFormat=P","Fill=—","Direction=H","UseDPDF=Y")</f>
        <v>9.3670000000000009</v>
      </c>
      <c r="S23" s="13">
        <f>_xll.BDH("ALNY US Equity","IS_OTHER_NON_OPERATING_INC_LOSS","FQ1 2023","FQ1 2023","Currency=USD","Period=FQ","BEST_FPERIOD_OVERRIDE=FQ","FILING_STATUS=MR","SCALING_FORMAT=MLN","FA_ADJUSTED=Adjusted","Sort=A","Dates=H","DateFormat=P","Fill=—","Direction=H","UseDPDF=Y")</f>
        <v>9.9879999999999995</v>
      </c>
      <c r="T23" s="13">
        <f>_xll.BDH("ALNY US Equity","IS_OTHER_NON_OPERATING_INC_LOSS","FQ2 2023","FQ2 2023","Currency=USD","Period=FQ","BEST_FPERIOD_OVERRIDE=FQ","FILING_STATUS=MR","SCALING_FORMAT=MLN","FA_ADJUSTED=Adjusted","Sort=A","Dates=H","DateFormat=P","Fill=—","Direction=H","UseDPDF=Y")</f>
        <v>36.817999999999998</v>
      </c>
      <c r="U23" s="13">
        <f>_xll.BDH("ALNY US Equity","IS_OTHER_NON_OPERATING_INC_LOSS","FQ3 2023","FQ3 2023","Currency=USD","Period=FQ","BEST_FPERIOD_OVERRIDE=FQ","FILING_STATUS=MR","SCALING_FORMAT=MLN","FA_ADJUSTED=Adjusted","Sort=A","Dates=H","DateFormat=P","Fill=—","Direction=H","UseDPDF=Y")</f>
        <v>40.814</v>
      </c>
      <c r="V23" s="13">
        <f>_xll.BDH("ALNY US Equity","IS_OTHER_NON_OPERATING_INC_LOSS","FQ4 2023","FQ4 2023","Currency=USD","Period=FQ","BEST_FPERIOD_OVERRIDE=FQ","FILING_STATUS=MR","SCALING_FORMAT=MLN","FA_ADJUSTED=Adjusted","Sort=A","Dates=H","DateFormat=P","Fill=—","Direction=H","UseDPDF=Y")</f>
        <v>21.117999999999999</v>
      </c>
      <c r="W23" s="13">
        <f>_xll.BDH("ALNY US Equity","IS_OTHER_NON_OPERATING_INC_LOSS","FQ1 2024","FQ1 2024","Currency=USD","Period=FQ","BEST_FPERIOD_OVERRIDE=FQ","FILING_STATUS=MR","SCALING_FORMAT=MLN","FA_ADJUSTED=Adjusted","Sort=A","Dates=H","DateFormat=P","Fill=—","Direction=H","UseDPDF=Y")</f>
        <v>14.622</v>
      </c>
      <c r="X23" s="13">
        <f>_xll.BDH("ALNY US Equity","IS_OTHER_NON_OPERATING_INC_LOSS","FQ2 2024","FQ2 2024","Currency=USD","Period=FQ","BEST_FPERIOD_OVERRIDE=FQ","FILING_STATUS=MR","SCALING_FORMAT=MLN","FA_ADJUSTED=Adjusted","Sort=A","Dates=H","DateFormat=P","Fill=—","Direction=H","UseDPDF=Y")</f>
        <v>54.338000000000001</v>
      </c>
      <c r="Y23" s="13">
        <f>_xll.BDH("ALNY US Equity","IS_OTHER_NON_OPERATING_INC_LOSS","FQ3 2024","FQ3 2024","Currency=USD","Period=FQ","BEST_FPERIOD_OVERRIDE=FQ","FILING_STATUS=MR","SCALING_FORMAT=MLN","FA_ADJUSTED=Adjusted","Sort=A","Dates=H","DateFormat=P","Fill=—","Direction=H","UseDPDF=Y")</f>
        <v>27.960999999999999</v>
      </c>
      <c r="Z23" s="13">
        <f>_xll.BDH("ALNY US Equity","IS_OTHER_NON_OPERATING_INC_LOSS","FQ4 2024","FQ4 2024","Currency=USD","Period=FQ","BEST_FPERIOD_OVERRIDE=FQ","FILING_STATUS=MR","SCALING_FORMAT=MLN","FA_ADJUSTED=Adjusted","Sort=A","Dates=H","DateFormat=P","Fill=—","Direction=H","UseDPDF=Y")</f>
        <v>80.680999999999997</v>
      </c>
    </row>
    <row r="24" spans="1:26" x14ac:dyDescent="0.25">
      <c r="A24" s="6" t="s">
        <v>89</v>
      </c>
      <c r="B24" s="6" t="s">
        <v>90</v>
      </c>
      <c r="C24" s="16">
        <f>_xll.BDH("ALNY US Equity","PRETAX_INC","FQ1 2019","FQ1 2019","Currency=USD","Period=FQ","BEST_FPERIOD_OVERRIDE=FQ","FILING_STATUS=MR","SCALING_FORMAT=MLN","FA_ADJUSTED=Adjusted","Sort=A","Dates=H","DateFormat=P","Fill=—","Direction=H","UseDPDF=Y")</f>
        <v>-181.22</v>
      </c>
      <c r="D24" s="16">
        <f>_xll.BDH("ALNY US Equity","PRETAX_INC","FQ2 2019","FQ2 2019","Currency=USD","Period=FQ","BEST_FPERIOD_OVERRIDE=FQ","FILING_STATUS=MR","SCALING_FORMAT=MLN","FA_ADJUSTED=Adjusted","Sort=A","Dates=H","DateFormat=P","Fill=—","Direction=H","UseDPDF=Y")</f>
        <v>-227.94300000000001</v>
      </c>
      <c r="E24" s="16">
        <f>_xll.BDH("ALNY US Equity","PRETAX_INC","FQ3 2019","FQ3 2019","Currency=USD","Period=FQ","BEST_FPERIOD_OVERRIDE=FQ","FILING_STATUS=MR","SCALING_FORMAT=MLN","FA_ADJUSTED=Adjusted","Sort=A","Dates=H","DateFormat=P","Fill=—","Direction=H","UseDPDF=Y")</f>
        <v>-208.929</v>
      </c>
      <c r="F24" s="16">
        <f>_xll.BDH("ALNY US Equity","PRETAX_INC","FQ4 2019","FQ4 2019","Currency=USD","Period=FQ","BEST_FPERIOD_OVERRIDE=FQ","FILING_STATUS=MR","SCALING_FORMAT=MLN","FA_ADJUSTED=Adjusted","Sort=A","Dates=H","DateFormat=P","Fill=—","Direction=H","UseDPDF=Y")</f>
        <v>-290.84500000000003</v>
      </c>
      <c r="G24" s="16">
        <f>_xll.BDH("ALNY US Equity","PRETAX_INC","FQ1 2020","FQ1 2020","Currency=USD","Period=FQ","BEST_FPERIOD_OVERRIDE=FQ","FILING_STATUS=MR","SCALING_FORMAT=MLN","FA_ADJUSTED=Adjusted","Sort=A","Dates=H","DateFormat=P","Fill=—","Direction=H","UseDPDF=Y")</f>
        <v>-205.75700000000001</v>
      </c>
      <c r="H24" s="16">
        <f>_xll.BDH("ALNY US Equity","PRETAX_INC","FQ2 2020","FQ2 2020","Currency=USD","Period=FQ","BEST_FPERIOD_OVERRIDE=FQ","FILING_STATUS=MR","SCALING_FORMAT=MLN","FA_ADJUSTED=Adjusted","Sort=A","Dates=H","DateFormat=P","Fill=—","Direction=H","UseDPDF=Y")</f>
        <v>-236.03110000000001</v>
      </c>
      <c r="I24" s="16">
        <f>_xll.BDH("ALNY US Equity","PRETAX_INC","FQ3 2020","FQ3 2020","Currency=USD","Period=FQ","BEST_FPERIOD_OVERRIDE=FQ","FILING_STATUS=MR","SCALING_FORMAT=MLN","FA_ADJUSTED=Adjusted","Sort=A","Dates=H","DateFormat=P","Fill=—","Direction=H","UseDPDF=Y")</f>
        <v>-220.02199999999999</v>
      </c>
      <c r="J24" s="16">
        <f>_xll.BDH("ALNY US Equity","PRETAX_INC","FQ4 2020","FQ4 2020","Currency=USD","Period=FQ","BEST_FPERIOD_OVERRIDE=FQ","FILING_STATUS=MR","SCALING_FORMAT=MLN","FA_ADJUSTED=Adjusted","Sort=A","Dates=H","DateFormat=P","Fill=—","Direction=H","UseDPDF=Y")</f>
        <v>-217.4539</v>
      </c>
      <c r="K24" s="16">
        <f>_xll.BDH("ALNY US Equity","PRETAX_INC","FQ1 2021","FQ1 2021","Currency=USD","Period=FQ","BEST_FPERIOD_OVERRIDE=FQ","FILING_STATUS=MR","SCALING_FORMAT=MLN","FA_ADJUSTED=Adjusted","Sort=A","Dates=H","DateFormat=P","Fill=—","Direction=H","UseDPDF=Y")</f>
        <v>-246.291</v>
      </c>
      <c r="L24" s="16">
        <f>_xll.BDH("ALNY US Equity","PRETAX_INC","FQ2 2021","FQ2 2021","Currency=USD","Period=FQ","BEST_FPERIOD_OVERRIDE=FQ","FILING_STATUS=MR","SCALING_FORMAT=MLN","FA_ADJUSTED=Adjusted","Sort=A","Dates=H","DateFormat=P","Fill=—","Direction=H","UseDPDF=Y")</f>
        <v>-182.7183</v>
      </c>
      <c r="M24" s="16">
        <f>_xll.BDH("ALNY US Equity","PRETAX_INC","FQ3 2021","FQ3 2021","Currency=USD","Period=FQ","BEST_FPERIOD_OVERRIDE=FQ","FILING_STATUS=MR","SCALING_FORMAT=MLN","FA_ADJUSTED=Adjusted","Sort=A","Dates=H","DateFormat=P","Fill=—","Direction=H","UseDPDF=Y")</f>
        <v>-212.92699999999999</v>
      </c>
      <c r="N24" s="16">
        <f>_xll.BDH("ALNY US Equity","PRETAX_INC","FQ4 2021","FQ4 2021","Currency=USD","Period=FQ","BEST_FPERIOD_OVERRIDE=FQ","FILING_STATUS=MR","SCALING_FORMAT=MLN","FA_ADJUSTED=Adjusted","Sort=A","Dates=H","DateFormat=P","Fill=—","Direction=H","UseDPDF=Y")</f>
        <v>-254.72399999999999</v>
      </c>
      <c r="O24" s="16">
        <f>_xll.BDH("ALNY US Equity","PRETAX_INC","FQ1 2022","FQ1 2022","Currency=USD","Period=FQ","BEST_FPERIOD_OVERRIDE=FQ","FILING_STATUS=MR","SCALING_FORMAT=MLN","FA_ADJUSTED=Adjusted","Sort=A","Dates=H","DateFormat=P","Fill=—","Direction=H","UseDPDF=Y")</f>
        <v>-208.19499999999999</v>
      </c>
      <c r="P24" s="16">
        <f>_xll.BDH("ALNY US Equity","PRETAX_INC","FQ2 2022","FQ2 2022","Currency=USD","Period=FQ","BEST_FPERIOD_OVERRIDE=FQ","FILING_STATUS=MR","SCALING_FORMAT=MLN","FA_ADJUSTED=Adjusted","Sort=A","Dates=H","DateFormat=P","Fill=—","Direction=H","UseDPDF=Y")</f>
        <v>-273.57600000000002</v>
      </c>
      <c r="Q24" s="16">
        <f>_xll.BDH("ALNY US Equity","PRETAX_INC","FQ3 2022","FQ3 2022","Currency=USD","Period=FQ","BEST_FPERIOD_OVERRIDE=FQ","FILING_STATUS=MR","SCALING_FORMAT=MLN","FA_ADJUSTED=Adjusted","Sort=A","Dates=H","DateFormat=P","Fill=—","Direction=H","UseDPDF=Y")</f>
        <v>-321.50700000000001</v>
      </c>
      <c r="R24" s="16">
        <f>_xll.BDH("ALNY US Equity","PRETAX_INC","FQ4 2022","FQ4 2022","Currency=USD","Period=FQ","BEST_FPERIOD_OVERRIDE=FQ","FILING_STATUS=MR","SCALING_FORMAT=MLN","FA_ADJUSTED=Adjusted","Sort=A","Dates=H","DateFormat=P","Fill=—","Direction=H","UseDPDF=Y")</f>
        <v>-213.81700000000001</v>
      </c>
      <c r="S24" s="16">
        <f>_xll.BDH("ALNY US Equity","PRETAX_INC","FQ1 2023","FQ1 2023","Currency=USD","Period=FQ","BEST_FPERIOD_OVERRIDE=FQ","FILING_STATUS=MR","SCALING_FORMAT=MLN","FA_ADJUSTED=Adjusted","Sort=A","Dates=H","DateFormat=P","Fill=—","Direction=H","UseDPDF=Y")</f>
        <v>-170.095</v>
      </c>
      <c r="T24" s="16">
        <f>_xll.BDH("ALNY US Equity","PRETAX_INC","FQ2 2023","FQ2 2023","Currency=USD","Period=FQ","BEST_FPERIOD_OVERRIDE=FQ","FILING_STATUS=MR","SCALING_FORMAT=MLN","FA_ADJUSTED=Adjusted","Sort=A","Dates=H","DateFormat=P","Fill=—","Direction=H","UseDPDF=Y")</f>
        <v>-275.60899999999998</v>
      </c>
      <c r="U24" s="16">
        <f>_xll.BDH("ALNY US Equity","PRETAX_INC","FQ3 2023","FQ3 2023","Currency=USD","Period=FQ","BEST_FPERIOD_OVERRIDE=FQ","FILING_STATUS=MR","SCALING_FORMAT=MLN","FA_ADJUSTED=Adjusted","Sort=A","Dates=H","DateFormat=P","Fill=—","Direction=H","UseDPDF=Y")</f>
        <v>167.58500000000001</v>
      </c>
      <c r="V24" s="16">
        <f>_xll.BDH("ALNY US Equity","PRETAX_INC","FQ4 2023","FQ4 2023","Currency=USD","Period=FQ","BEST_FPERIOD_OVERRIDE=FQ","FILING_STATUS=MR","SCALING_FORMAT=MLN","FA_ADJUSTED=Adjusted","Sort=A","Dates=H","DateFormat=P","Fill=—","Direction=H","UseDPDF=Y")</f>
        <v>-138.45400000000001</v>
      </c>
      <c r="W24" s="16">
        <f>_xll.BDH("ALNY US Equity","PRETAX_INC","FQ1 2024","FQ1 2024","Currency=USD","Period=FQ","BEST_FPERIOD_OVERRIDE=FQ","FILING_STATUS=MR","SCALING_FORMAT=MLN","FA_ADJUSTED=Adjusted","Sort=A","Dates=H","DateFormat=P","Fill=—","Direction=H","UseDPDF=Y")</f>
        <v>-63.664999999999999</v>
      </c>
      <c r="X24" s="16">
        <f>_xll.BDH("ALNY US Equity","PRETAX_INC","FQ2 2024","FQ2 2024","Currency=USD","Period=FQ","BEST_FPERIOD_OVERRIDE=FQ","FILING_STATUS=MR","SCALING_FORMAT=MLN","FA_ADJUSTED=Adjusted","Sort=A","Dates=H","DateFormat=P","Fill=—","Direction=H","UseDPDF=Y")</f>
        <v>-9.8000000000000007</v>
      </c>
      <c r="Y24" s="16">
        <f>_xll.BDH("ALNY US Equity","PRETAX_INC","FQ3 2024","FQ3 2024","Currency=USD","Period=FQ","BEST_FPERIOD_OVERRIDE=FQ","FILING_STATUS=MR","SCALING_FORMAT=MLN","FA_ADJUSTED=Adjusted","Sort=A","Dates=H","DateFormat=P","Fill=—","Direction=H","UseDPDF=Y")</f>
        <v>-107.096</v>
      </c>
      <c r="Z24" s="16">
        <f>_xll.BDH("ALNY US Equity","PRETAX_INC","FQ4 2024","FQ4 2024","Currency=USD","Period=FQ","BEST_FPERIOD_OVERRIDE=FQ","FILING_STATUS=MR","SCALING_FORMAT=MLN","FA_ADJUSTED=Adjusted","Sort=A","Dates=H","DateFormat=P","Fill=—","Direction=H","UseDPDF=Y")</f>
        <v>-193.792</v>
      </c>
    </row>
    <row r="25" spans="1:26" x14ac:dyDescent="0.25">
      <c r="A25" s="10" t="s">
        <v>91</v>
      </c>
      <c r="B25" s="10" t="s">
        <v>92</v>
      </c>
      <c r="C25" s="13">
        <f>_xll.BDH("ALNY US Equity","IS_ABNORMAL_ITEM","FQ1 2019","FQ1 2019","Currency=USD","Period=FQ","BEST_FPERIOD_OVERRIDE=FQ","FILING_STATUS=MR","SCALING_FORMAT=MLN","Sort=A","Dates=H","DateFormat=P","Fill=—","Direction=H","UseDPDF=Y")</f>
        <v>0</v>
      </c>
      <c r="D25" s="13">
        <f>_xll.BDH("ALNY US Equity","IS_ABNORMAL_ITEM","FQ2 2019","FQ2 2019","Currency=USD","Period=FQ","BEST_FPERIOD_OVERRIDE=FQ","FILING_STATUS=MR","SCALING_FORMAT=MLN","Sort=A","Dates=H","DateFormat=P","Fill=—","Direction=H","UseDPDF=Y")</f>
        <v>-9.4220000000000006</v>
      </c>
      <c r="E25" s="13">
        <f>_xll.BDH("ALNY US Equity","IS_ABNORMAL_ITEM","FQ3 2019","FQ3 2019","Currency=USD","Period=FQ","BEST_FPERIOD_OVERRIDE=FQ","FILING_STATUS=MR","SCALING_FORMAT=MLN","Sort=A","Dates=H","DateFormat=P","Fill=—","Direction=H","UseDPDF=Y")</f>
        <v>0</v>
      </c>
      <c r="F25" s="13">
        <f>_xll.BDH("ALNY US Equity","IS_ABNORMAL_ITEM","FQ4 2019","FQ4 2019","Currency=USD","Period=FQ","BEST_FPERIOD_OVERRIDE=FQ","FILING_STATUS=MR","SCALING_FORMAT=MLN","Sort=A","Dates=H","DateFormat=P","Fill=—","Direction=H","UseDPDF=Y")</f>
        <v>-14.262</v>
      </c>
      <c r="G25" s="13">
        <f>_xll.BDH("ALNY US Equity","IS_ABNORMAL_ITEM","FQ1 2020","FQ1 2020","Currency=USD","Period=FQ","BEST_FPERIOD_OVERRIDE=FQ","FILING_STATUS=MR","SCALING_FORMAT=MLN","Sort=A","Dates=H","DateFormat=P","Fill=—","Direction=H","UseDPDF=Y")</f>
        <v>-24.111000000000001</v>
      </c>
      <c r="H25" s="13">
        <f>_xll.BDH("ALNY US Equity","IS_ABNORMAL_ITEM","FQ2 2020","FQ2 2020","Currency=USD","Period=FQ","BEST_FPERIOD_OVERRIDE=FQ","FILING_STATUS=MR","SCALING_FORMAT=MLN","Sort=A","Dates=H","DateFormat=P","Fill=—","Direction=H","UseDPDF=Y")</f>
        <v>-58.128100000000003</v>
      </c>
      <c r="I25" s="13">
        <f>_xll.BDH("ALNY US Equity","IS_ABNORMAL_ITEM","FQ3 2020","FQ3 2020","Currency=USD","Period=FQ","BEST_FPERIOD_OVERRIDE=FQ","FILING_STATUS=MR","SCALING_FORMAT=MLN","Sort=A","Dates=H","DateFormat=P","Fill=—","Direction=H","UseDPDF=Y")</f>
        <v>32.43</v>
      </c>
      <c r="J25" s="13">
        <f>_xll.BDH("ALNY US Equity","IS_ABNORMAL_ITEM","FQ4 2020","FQ4 2020","Currency=USD","Period=FQ","BEST_FPERIOD_OVERRIDE=FQ","FILING_STATUS=MR","SCALING_FORMAT=MLN","Sort=A","Dates=H","DateFormat=P","Fill=—","Direction=H","UseDPDF=Y")</f>
        <v>26.145099999999999</v>
      </c>
      <c r="K25" s="13">
        <f>_xll.BDH("ALNY US Equity","IS_ABNORMAL_ITEM","FQ1 2021","FQ1 2021","Currency=USD","Period=FQ","BEST_FPERIOD_OVERRIDE=FQ","FILING_STATUS=MR","SCALING_FORMAT=MLN","Sort=A","Dates=H","DateFormat=P","Fill=—","Direction=H","UseDPDF=Y")</f>
        <v>-47.015999999999998</v>
      </c>
      <c r="L25" s="13">
        <f>_xll.BDH("ALNY US Equity","IS_ABNORMAL_ITEM","FQ2 2021","FQ2 2021","Currency=USD","Period=FQ","BEST_FPERIOD_OVERRIDE=FQ","FILING_STATUS=MR","SCALING_FORMAT=MLN","Sort=A","Dates=H","DateFormat=P","Fill=—","Direction=H","UseDPDF=Y")</f>
        <v>5.6127000000000002</v>
      </c>
      <c r="M25" s="13">
        <f>_xll.BDH("ALNY US Equity","IS_ABNORMAL_ITEM","FQ3 2021","FQ3 2021","Currency=USD","Period=FQ","BEST_FPERIOD_OVERRIDE=FQ","FILING_STATUS=MR","SCALING_FORMAT=MLN","Sort=A","Dates=H","DateFormat=P","Fill=—","Direction=H","UseDPDF=Y")</f>
        <v>-8.6910000000000007</v>
      </c>
      <c r="N25" s="13">
        <f>_xll.BDH("ALNY US Equity","IS_ABNORMAL_ITEM","FQ4 2021","FQ4 2021","Currency=USD","Period=FQ","BEST_FPERIOD_OVERRIDE=FQ","FILING_STATUS=MR","SCALING_FORMAT=MLN","Sort=A","Dates=H","DateFormat=P","Fill=—","Direction=H","UseDPDF=Y")</f>
        <v>5.5780000000000003</v>
      </c>
      <c r="O25" s="13">
        <f>_xll.BDH("ALNY US Equity","IS_ABNORMAL_ITEM","FQ1 2022","FQ1 2022","Currency=USD","Period=FQ","BEST_FPERIOD_OVERRIDE=FQ","FILING_STATUS=MR","SCALING_FORMAT=MLN","Sort=A","Dates=H","DateFormat=P","Fill=—","Direction=H","UseDPDF=Y")</f>
        <v>31.161000000000001</v>
      </c>
      <c r="P25" s="13">
        <f>_xll.BDH("ALNY US Equity","IS_ABNORMAL_ITEM","FQ2 2022","FQ2 2022","Currency=USD","Period=FQ","BEST_FPERIOD_OVERRIDE=FQ","FILING_STATUS=MR","SCALING_FORMAT=MLN","Sort=A","Dates=H","DateFormat=P","Fill=—","Direction=H","UseDPDF=Y")</f>
        <v>1.097</v>
      </c>
      <c r="Q25" s="13">
        <f>_xll.BDH("ALNY US Equity","IS_ABNORMAL_ITEM","FQ3 2022","FQ3 2022","Currency=USD","Period=FQ","BEST_FPERIOD_OVERRIDE=FQ","FILING_STATUS=MR","SCALING_FORMAT=MLN","Sort=A","Dates=H","DateFormat=P","Fill=—","Direction=H","UseDPDF=Y")</f>
        <v>84.436000000000007</v>
      </c>
      <c r="R25" s="13">
        <f>_xll.BDH("ALNY US Equity","IS_ABNORMAL_ITEM","FQ4 2022","FQ4 2022","Currency=USD","Period=FQ","BEST_FPERIOD_OVERRIDE=FQ","FILING_STATUS=MR","SCALING_FORMAT=MLN","Sort=A","Dates=H","DateFormat=P","Fill=—","Direction=H","UseDPDF=Y")</f>
        <v>-6.7960000000000003</v>
      </c>
      <c r="S25" s="13">
        <f>_xll.BDH("ALNY US Equity","IS_ABNORMAL_ITEM","FQ1 2023","FQ1 2023","Currency=USD","Period=FQ","BEST_FPERIOD_OVERRIDE=FQ","FILING_STATUS=MR","SCALING_FORMAT=MLN","Sort=A","Dates=H","DateFormat=P","Fill=—","Direction=H","UseDPDF=Y")</f>
        <v>2.2669999999999999</v>
      </c>
      <c r="T25" s="13">
        <f>_xll.BDH("ALNY US Equity","IS_ABNORMAL_ITEM","FQ2 2023","FQ2 2023","Currency=USD","Period=FQ","BEST_FPERIOD_OVERRIDE=FQ","FILING_STATUS=MR","SCALING_FORMAT=MLN","Sort=A","Dates=H","DateFormat=P","Fill=—","Direction=H","UseDPDF=Y")</f>
        <v>-1.4</v>
      </c>
      <c r="U25" s="13">
        <f>_xll.BDH("ALNY US Equity","IS_ABNORMAL_ITEM","FQ3 2023","FQ3 2023","Currency=USD","Period=FQ","BEST_FPERIOD_OVERRIDE=FQ","FILING_STATUS=MR","SCALING_FORMAT=MLN","Sort=A","Dates=H","DateFormat=P","Fill=—","Direction=H","UseDPDF=Y")</f>
        <v>16.844000000000001</v>
      </c>
      <c r="V25" s="13">
        <f>_xll.BDH("ALNY US Equity","IS_ABNORMAL_ITEM","FQ4 2023","FQ4 2023","Currency=USD","Period=FQ","BEST_FPERIOD_OVERRIDE=FQ","FILING_STATUS=MR","SCALING_FORMAT=MLN","Sort=A","Dates=H","DateFormat=P","Fill=—","Direction=H","UseDPDF=Y")</f>
        <v>-0.76700000000000002</v>
      </c>
      <c r="W25" s="13">
        <f>_xll.BDH("ALNY US Equity","IS_ABNORMAL_ITEM","FQ1 2024","FQ1 2024","Currency=USD","Period=FQ","BEST_FPERIOD_OVERRIDE=FQ","FILING_STATUS=MR","SCALING_FORMAT=MLN","Sort=A","Dates=H","DateFormat=P","Fill=—","Direction=H","UseDPDF=Y")</f>
        <v>-7.8E-2</v>
      </c>
      <c r="X25" s="13">
        <f>_xll.BDH("ALNY US Equity","IS_ABNORMAL_ITEM","FQ2 2024","FQ2 2024","Currency=USD","Period=FQ","BEST_FPERIOD_OVERRIDE=FQ","FILING_STATUS=MR","SCALING_FORMAT=MLN","Sort=A","Dates=H","DateFormat=P","Fill=—","Direction=H","UseDPDF=Y")</f>
        <v>1.367</v>
      </c>
      <c r="Y25" s="13">
        <f>_xll.BDH("ALNY US Equity","IS_ABNORMAL_ITEM","FQ3 2024","FQ3 2024","Currency=USD","Period=FQ","BEST_FPERIOD_OVERRIDE=FQ","FILING_STATUS=MR","SCALING_FORMAT=MLN","Sort=A","Dates=H","DateFormat=P","Fill=—","Direction=H","UseDPDF=Y")</f>
        <v>1.5669999999999999</v>
      </c>
      <c r="Z25" s="13">
        <f>_xll.BDH("ALNY US Equity","IS_ABNORMAL_ITEM","FQ4 2024","FQ4 2024","Currency=USD","Period=FQ","BEST_FPERIOD_OVERRIDE=FQ","FILING_STATUS=MR","SCALING_FORMAT=MLN","Sort=A","Dates=H","DateFormat=P","Fill=—","Direction=H","UseDPDF=Y")</f>
        <v>0.16600000000000001</v>
      </c>
    </row>
    <row r="26" spans="1:26" x14ac:dyDescent="0.25">
      <c r="A26" s="10" t="s">
        <v>93</v>
      </c>
      <c r="B26" s="10" t="s">
        <v>94</v>
      </c>
      <c r="C26" s="13" t="str">
        <f>_xll.BDH("ALNY US Equity","IS_MERGER_ACQUISITION_EXPENSE","FQ1 2019","FQ1 2019","Currency=USD","Period=FQ","BEST_FPERIOD_OVERRIDE=FQ","FILING_STATUS=MR","SCALING_FORMAT=MLN","Sort=A","Dates=H","DateFormat=P","Fill=—","Direction=H","UseDPDF=Y")</f>
        <v>—</v>
      </c>
      <c r="D26" s="13" t="str">
        <f>_xll.BDH("ALNY US Equity","IS_MERGER_ACQUISITION_EXPENSE","FQ2 2019","FQ2 2019","Currency=USD","Period=FQ","BEST_FPERIOD_OVERRIDE=FQ","FILING_STATUS=MR","SCALING_FORMAT=MLN","Sort=A","Dates=H","DateFormat=P","Fill=—","Direction=H","UseDPDF=Y")</f>
        <v>—</v>
      </c>
      <c r="E26" s="13" t="str">
        <f>_xll.BDH("ALNY US Equity","IS_MERGER_ACQUISITION_EXPENSE","FQ3 2019","FQ3 2019","Currency=USD","Period=FQ","BEST_FPERIOD_OVERRIDE=FQ","FILING_STATUS=MR","SCALING_FORMAT=MLN","Sort=A","Dates=H","DateFormat=P","Fill=—","Direction=H","UseDPDF=Y")</f>
        <v>—</v>
      </c>
      <c r="F26" s="13" t="str">
        <f>_xll.BDH("ALNY US Equity","IS_MERGER_ACQUISITION_EXPENSE","FQ4 2019","FQ4 2019","Currency=USD","Period=FQ","BEST_FPERIOD_OVERRIDE=FQ","FILING_STATUS=MR","SCALING_FORMAT=MLN","Sort=A","Dates=H","DateFormat=P","Fill=—","Direction=H","UseDPDF=Y")</f>
        <v>—</v>
      </c>
      <c r="G26" s="13" t="str">
        <f>_xll.BDH("ALNY US Equity","IS_MERGER_ACQUISITION_EXPENSE","FQ1 2020","FQ1 2020","Currency=USD","Period=FQ","BEST_FPERIOD_OVERRIDE=FQ","FILING_STATUS=MR","SCALING_FORMAT=MLN","Sort=A","Dates=H","DateFormat=P","Fill=—","Direction=H","UseDPDF=Y")</f>
        <v>—</v>
      </c>
      <c r="H26" s="13" t="str">
        <f>_xll.BDH("ALNY US Equity","IS_MERGER_ACQUISITION_EXPENSE","FQ2 2020","FQ2 2020","Currency=USD","Period=FQ","BEST_FPERIOD_OVERRIDE=FQ","FILING_STATUS=MR","SCALING_FORMAT=MLN","Sort=A","Dates=H","DateFormat=P","Fill=—","Direction=H","UseDPDF=Y")</f>
        <v>—</v>
      </c>
      <c r="I26" s="13">
        <f>_xll.BDH("ALNY US Equity","IS_MERGER_ACQUISITION_EXPENSE","FQ3 2020","FQ3 2020","Currency=USD","Period=FQ","BEST_FPERIOD_OVERRIDE=FQ","FILING_STATUS=MR","SCALING_FORMAT=MLN","Sort=A","Dates=H","DateFormat=P","Fill=—","Direction=H","UseDPDF=Y")</f>
        <v>28</v>
      </c>
      <c r="J26" s="13">
        <f>_xll.BDH("ALNY US Equity","IS_MERGER_ACQUISITION_EXPENSE","FQ4 2020","FQ4 2020","Currency=USD","Period=FQ","BEST_FPERIOD_OVERRIDE=FQ","FILING_STATUS=MR","SCALING_FORMAT=MLN","Sort=A","Dates=H","DateFormat=P","Fill=—","Direction=H","UseDPDF=Y")</f>
        <v>10.215999999999999</v>
      </c>
      <c r="K26" s="13" t="str">
        <f>_xll.BDH("ALNY US Equity","IS_MERGER_ACQUISITION_EXPENSE","FQ1 2021","FQ1 2021","Currency=USD","Period=FQ","BEST_FPERIOD_OVERRIDE=FQ","FILING_STATUS=MR","SCALING_FORMAT=MLN","Sort=A","Dates=H","DateFormat=P","Fill=—","Direction=H","UseDPDF=Y")</f>
        <v>—</v>
      </c>
      <c r="L26" s="13" t="str">
        <f>_xll.BDH("ALNY US Equity","IS_MERGER_ACQUISITION_EXPENSE","FQ2 2021","FQ2 2021","Currency=USD","Period=FQ","BEST_FPERIOD_OVERRIDE=FQ","FILING_STATUS=MR","SCALING_FORMAT=MLN","Sort=A","Dates=H","DateFormat=P","Fill=—","Direction=H","UseDPDF=Y")</f>
        <v>—</v>
      </c>
      <c r="M26" s="13" t="str">
        <f>_xll.BDH("ALNY US Equity","IS_MERGER_ACQUISITION_EXPENSE","FQ3 2021","FQ3 2021","Currency=USD","Period=FQ","BEST_FPERIOD_OVERRIDE=FQ","FILING_STATUS=MR","SCALING_FORMAT=MLN","Sort=A","Dates=H","DateFormat=P","Fill=—","Direction=H","UseDPDF=Y")</f>
        <v>—</v>
      </c>
      <c r="N26" s="13" t="str">
        <f>_xll.BDH("ALNY US Equity","IS_MERGER_ACQUISITION_EXPENSE","FQ4 2021","FQ4 2021","Currency=USD","Period=FQ","BEST_FPERIOD_OVERRIDE=FQ","FILING_STATUS=MR","SCALING_FORMAT=MLN","Sort=A","Dates=H","DateFormat=P","Fill=—","Direction=H","UseDPDF=Y")</f>
        <v>—</v>
      </c>
      <c r="O26" s="13" t="str">
        <f>_xll.BDH("ALNY US Equity","IS_MERGER_ACQUISITION_EXPENSE","FQ1 2022","FQ1 2022","Currency=USD","Period=FQ","BEST_FPERIOD_OVERRIDE=FQ","FILING_STATUS=MR","SCALING_FORMAT=MLN","Sort=A","Dates=H","DateFormat=P","Fill=—","Direction=H","UseDPDF=Y")</f>
        <v>—</v>
      </c>
      <c r="P26" s="13" t="str">
        <f>_xll.BDH("ALNY US Equity","IS_MERGER_ACQUISITION_EXPENSE","FQ2 2022","FQ2 2022","Currency=USD","Period=FQ","BEST_FPERIOD_OVERRIDE=FQ","FILING_STATUS=MR","SCALING_FORMAT=MLN","Sort=A","Dates=H","DateFormat=P","Fill=—","Direction=H","UseDPDF=Y")</f>
        <v>—</v>
      </c>
      <c r="Q26" s="13" t="str">
        <f>_xll.BDH("ALNY US Equity","IS_MERGER_ACQUISITION_EXPENSE","FQ3 2022","FQ3 2022","Currency=USD","Period=FQ","BEST_FPERIOD_OVERRIDE=FQ","FILING_STATUS=MR","SCALING_FORMAT=MLN","Sort=A","Dates=H","DateFormat=P","Fill=—","Direction=H","UseDPDF=Y")</f>
        <v>—</v>
      </c>
      <c r="R26" s="13" t="str">
        <f>_xll.BDH("ALNY US Equity","IS_MERGER_ACQUISITION_EXPENSE","FQ4 2022","FQ4 2022","Currency=USD","Period=FQ","BEST_FPERIOD_OVERRIDE=FQ","FILING_STATUS=MR","SCALING_FORMAT=MLN","Sort=A","Dates=H","DateFormat=P","Fill=—","Direction=H","UseDPDF=Y")</f>
        <v>—</v>
      </c>
      <c r="S26" s="13" t="str">
        <f>_xll.BDH("ALNY US Equity","IS_MERGER_ACQUISITION_EXPENSE","FQ1 2023","FQ1 2023","Currency=USD","Period=FQ","BEST_FPERIOD_OVERRIDE=FQ","FILING_STATUS=MR","SCALING_FORMAT=MLN","Sort=A","Dates=H","DateFormat=P","Fill=—","Direction=H","UseDPDF=Y")</f>
        <v>—</v>
      </c>
      <c r="T26" s="13" t="str">
        <f>_xll.BDH("ALNY US Equity","IS_MERGER_ACQUISITION_EXPENSE","FQ2 2023","FQ2 2023","Currency=USD","Period=FQ","BEST_FPERIOD_OVERRIDE=FQ","FILING_STATUS=MR","SCALING_FORMAT=MLN","Sort=A","Dates=H","DateFormat=P","Fill=—","Direction=H","UseDPDF=Y")</f>
        <v>—</v>
      </c>
      <c r="U26" s="13" t="str">
        <f>_xll.BDH("ALNY US Equity","IS_MERGER_ACQUISITION_EXPENSE","FQ3 2023","FQ3 2023","Currency=USD","Period=FQ","BEST_FPERIOD_OVERRIDE=FQ","FILING_STATUS=MR","SCALING_FORMAT=MLN","Sort=A","Dates=H","DateFormat=P","Fill=—","Direction=H","UseDPDF=Y")</f>
        <v>—</v>
      </c>
      <c r="V26" s="13" t="str">
        <f>_xll.BDH("ALNY US Equity","IS_MERGER_ACQUISITION_EXPENSE","FQ4 2023","FQ4 2023","Currency=USD","Period=FQ","BEST_FPERIOD_OVERRIDE=FQ","FILING_STATUS=MR","SCALING_FORMAT=MLN","Sort=A","Dates=H","DateFormat=P","Fill=—","Direction=H","UseDPDF=Y")</f>
        <v>—</v>
      </c>
      <c r="W26" s="13" t="str">
        <f>_xll.BDH("ALNY US Equity","IS_MERGER_ACQUISITION_EXPENSE","FQ1 2024","FQ1 2024","Currency=USD","Period=FQ","BEST_FPERIOD_OVERRIDE=FQ","FILING_STATUS=MR","SCALING_FORMAT=MLN","Sort=A","Dates=H","DateFormat=P","Fill=—","Direction=H","UseDPDF=Y")</f>
        <v>—</v>
      </c>
      <c r="X26" s="13" t="str">
        <f>_xll.BDH("ALNY US Equity","IS_MERGER_ACQUISITION_EXPENSE","FQ2 2024","FQ2 2024","Currency=USD","Period=FQ","BEST_FPERIOD_OVERRIDE=FQ","FILING_STATUS=MR","SCALING_FORMAT=MLN","Sort=A","Dates=H","DateFormat=P","Fill=—","Direction=H","UseDPDF=Y")</f>
        <v>—</v>
      </c>
      <c r="Y26" s="13" t="str">
        <f>_xll.BDH("ALNY US Equity","IS_MERGER_ACQUISITION_EXPENSE","FQ3 2024","FQ3 2024","Currency=USD","Period=FQ","BEST_FPERIOD_OVERRIDE=FQ","FILING_STATUS=MR","SCALING_FORMAT=MLN","Sort=A","Dates=H","DateFormat=P","Fill=—","Direction=H","UseDPDF=Y")</f>
        <v>—</v>
      </c>
      <c r="Z26" s="13" t="str">
        <f>_xll.BDH("ALNY US Equity","IS_MERGER_ACQUISITION_EXPENSE","FQ4 2024","FQ4 2024","Currency=USD","Period=FQ","BEST_FPERIOD_OVERRIDE=FQ","FILING_STATUS=MR","SCALING_FORMAT=MLN","Sort=A","Dates=H","DateFormat=P","Fill=—","Direction=H","UseDPDF=Y")</f>
        <v>—</v>
      </c>
    </row>
    <row r="27" spans="1:26" x14ac:dyDescent="0.25">
      <c r="A27" s="10" t="s">
        <v>95</v>
      </c>
      <c r="B27" s="10" t="s">
        <v>96</v>
      </c>
      <c r="C27" s="13" t="str">
        <f>_xll.BDH("ALNY US Equity","IS_G_L_ON_EXT_DBT_OR_SETTLE_DBT","FQ1 2019","FQ1 2019","Currency=USD","Period=FQ","BEST_FPERIOD_OVERRIDE=FQ","FILING_STATUS=MR","SCALING_FORMAT=MLN","Sort=A","Dates=H","DateFormat=P","Fill=—","Direction=H","UseDPDF=Y")</f>
        <v>—</v>
      </c>
      <c r="D27" s="13" t="str">
        <f>_xll.BDH("ALNY US Equity","IS_G_L_ON_EXT_DBT_OR_SETTLE_DBT","FQ2 2019","FQ2 2019","Currency=USD","Period=FQ","BEST_FPERIOD_OVERRIDE=FQ","FILING_STATUS=MR","SCALING_FORMAT=MLN","Sort=A","Dates=H","DateFormat=P","Fill=—","Direction=H","UseDPDF=Y")</f>
        <v>—</v>
      </c>
      <c r="E27" s="13" t="str">
        <f>_xll.BDH("ALNY US Equity","IS_G_L_ON_EXT_DBT_OR_SETTLE_DBT","FQ3 2019","FQ3 2019","Currency=USD","Period=FQ","BEST_FPERIOD_OVERRIDE=FQ","FILING_STATUS=MR","SCALING_FORMAT=MLN","Sort=A","Dates=H","DateFormat=P","Fill=—","Direction=H","UseDPDF=Y")</f>
        <v>—</v>
      </c>
      <c r="F27" s="13" t="str">
        <f>_xll.BDH("ALNY US Equity","IS_G_L_ON_EXT_DBT_OR_SETTLE_DBT","FQ4 2019","FQ4 2019","Currency=USD","Period=FQ","BEST_FPERIOD_OVERRIDE=FQ","FILING_STATUS=MR","SCALING_FORMAT=MLN","Sort=A","Dates=H","DateFormat=P","Fill=—","Direction=H","UseDPDF=Y")</f>
        <v>—</v>
      </c>
      <c r="G27" s="13" t="str">
        <f>_xll.BDH("ALNY US Equity","IS_G_L_ON_EXT_DBT_OR_SETTLE_DBT","FQ1 2020","FQ1 2020","Currency=USD","Period=FQ","BEST_FPERIOD_OVERRIDE=FQ","FILING_STATUS=MR","SCALING_FORMAT=MLN","Sort=A","Dates=H","DateFormat=P","Fill=—","Direction=H","UseDPDF=Y")</f>
        <v>—</v>
      </c>
      <c r="H27" s="13" t="str">
        <f>_xll.BDH("ALNY US Equity","IS_G_L_ON_EXT_DBT_OR_SETTLE_DBT","FQ2 2020","FQ2 2020","Currency=USD","Period=FQ","BEST_FPERIOD_OVERRIDE=FQ","FILING_STATUS=MR","SCALING_FORMAT=MLN","Sort=A","Dates=H","DateFormat=P","Fill=—","Direction=H","UseDPDF=Y")</f>
        <v>—</v>
      </c>
      <c r="I27" s="13" t="str">
        <f>_xll.BDH("ALNY US Equity","IS_G_L_ON_EXT_DBT_OR_SETTLE_DBT","FQ3 2020","FQ3 2020","Currency=USD","Period=FQ","BEST_FPERIOD_OVERRIDE=FQ","FILING_STATUS=MR","SCALING_FORMAT=MLN","Sort=A","Dates=H","DateFormat=P","Fill=—","Direction=H","UseDPDF=Y")</f>
        <v>—</v>
      </c>
      <c r="J27" s="13" t="str">
        <f>_xll.BDH("ALNY US Equity","IS_G_L_ON_EXT_DBT_OR_SETTLE_DBT","FQ4 2020","FQ4 2020","Currency=USD","Period=FQ","BEST_FPERIOD_OVERRIDE=FQ","FILING_STATUS=MR","SCALING_FORMAT=MLN","Sort=A","Dates=H","DateFormat=P","Fill=—","Direction=H","UseDPDF=Y")</f>
        <v>—</v>
      </c>
      <c r="K27" s="13" t="str">
        <f>_xll.BDH("ALNY US Equity","IS_G_L_ON_EXT_DBT_OR_SETTLE_DBT","FQ1 2021","FQ1 2021","Currency=USD","Period=FQ","BEST_FPERIOD_OVERRIDE=FQ","FILING_STATUS=MR","SCALING_FORMAT=MLN","Sort=A","Dates=H","DateFormat=P","Fill=—","Direction=H","UseDPDF=Y")</f>
        <v>—</v>
      </c>
      <c r="L27" s="13" t="str">
        <f>_xll.BDH("ALNY US Equity","IS_G_L_ON_EXT_DBT_OR_SETTLE_DBT","FQ2 2021","FQ2 2021","Currency=USD","Period=FQ","BEST_FPERIOD_OVERRIDE=FQ","FILING_STATUS=MR","SCALING_FORMAT=MLN","Sort=A","Dates=H","DateFormat=P","Fill=—","Direction=H","UseDPDF=Y")</f>
        <v>—</v>
      </c>
      <c r="M27" s="13" t="str">
        <f>_xll.BDH("ALNY US Equity","IS_G_L_ON_EXT_DBT_OR_SETTLE_DBT","FQ3 2021","FQ3 2021","Currency=USD","Period=FQ","BEST_FPERIOD_OVERRIDE=FQ","FILING_STATUS=MR","SCALING_FORMAT=MLN","Sort=A","Dates=H","DateFormat=P","Fill=—","Direction=H","UseDPDF=Y")</f>
        <v>—</v>
      </c>
      <c r="N27" s="13" t="str">
        <f>_xll.BDH("ALNY US Equity","IS_G_L_ON_EXT_DBT_OR_SETTLE_DBT","FQ4 2021","FQ4 2021","Currency=USD","Period=FQ","BEST_FPERIOD_OVERRIDE=FQ","FILING_STATUS=MR","SCALING_FORMAT=MLN","Sort=A","Dates=H","DateFormat=P","Fill=—","Direction=H","UseDPDF=Y")</f>
        <v>—</v>
      </c>
      <c r="O27" s="13" t="str">
        <f>_xll.BDH("ALNY US Equity","IS_G_L_ON_EXT_DBT_OR_SETTLE_DBT","FQ1 2022","FQ1 2022","Currency=USD","Period=FQ","BEST_FPERIOD_OVERRIDE=FQ","FILING_STATUS=MR","SCALING_FORMAT=MLN","Sort=A","Dates=H","DateFormat=P","Fill=—","Direction=H","UseDPDF=Y")</f>
        <v>—</v>
      </c>
      <c r="P27" s="13" t="str">
        <f>_xll.BDH("ALNY US Equity","IS_G_L_ON_EXT_DBT_OR_SETTLE_DBT","FQ2 2022","FQ2 2022","Currency=USD","Period=FQ","BEST_FPERIOD_OVERRIDE=FQ","FILING_STATUS=MR","SCALING_FORMAT=MLN","Sort=A","Dates=H","DateFormat=P","Fill=—","Direction=H","UseDPDF=Y")</f>
        <v>—</v>
      </c>
      <c r="Q27" s="13">
        <f>_xll.BDH("ALNY US Equity","IS_G_L_ON_EXT_DBT_OR_SETTLE_DBT","FQ3 2022","FQ3 2022","Currency=USD","Period=FQ","BEST_FPERIOD_OVERRIDE=FQ","FILING_STATUS=MR","SCALING_FORMAT=MLN","Sort=A","Dates=H","DateFormat=P","Fill=—","Direction=H","UseDPDF=Y")</f>
        <v>76.585999999999999</v>
      </c>
      <c r="R27" s="13" t="str">
        <f>_xll.BDH("ALNY US Equity","IS_G_L_ON_EXT_DBT_OR_SETTLE_DBT","FQ4 2022","FQ4 2022","Currency=USD","Period=FQ","BEST_FPERIOD_OVERRIDE=FQ","FILING_STATUS=MR","SCALING_FORMAT=MLN","Sort=A","Dates=H","DateFormat=P","Fill=—","Direction=H","UseDPDF=Y")</f>
        <v>—</v>
      </c>
      <c r="S27" s="13" t="str">
        <f>_xll.BDH("ALNY US Equity","IS_G_L_ON_EXT_DBT_OR_SETTLE_DBT","FQ1 2023","FQ1 2023","Currency=USD","Period=FQ","BEST_FPERIOD_OVERRIDE=FQ","FILING_STATUS=MR","SCALING_FORMAT=MLN","Sort=A","Dates=H","DateFormat=P","Fill=—","Direction=H","UseDPDF=Y")</f>
        <v>—</v>
      </c>
      <c r="T27" s="13" t="str">
        <f>_xll.BDH("ALNY US Equity","IS_G_L_ON_EXT_DBT_OR_SETTLE_DBT","FQ2 2023","FQ2 2023","Currency=USD","Period=FQ","BEST_FPERIOD_OVERRIDE=FQ","FILING_STATUS=MR","SCALING_FORMAT=MLN","Sort=A","Dates=H","DateFormat=P","Fill=—","Direction=H","UseDPDF=Y")</f>
        <v>—</v>
      </c>
      <c r="U27" s="13" t="str">
        <f>_xll.BDH("ALNY US Equity","IS_G_L_ON_EXT_DBT_OR_SETTLE_DBT","FQ3 2023","FQ3 2023","Currency=USD","Period=FQ","BEST_FPERIOD_OVERRIDE=FQ","FILING_STATUS=MR","SCALING_FORMAT=MLN","Sort=A","Dates=H","DateFormat=P","Fill=—","Direction=H","UseDPDF=Y")</f>
        <v>—</v>
      </c>
      <c r="V27" s="13" t="str">
        <f>_xll.BDH("ALNY US Equity","IS_G_L_ON_EXT_DBT_OR_SETTLE_DBT","FQ4 2023","FQ4 2023","Currency=USD","Period=FQ","BEST_FPERIOD_OVERRIDE=FQ","FILING_STATUS=MR","SCALING_FORMAT=MLN","Sort=A","Dates=H","DateFormat=P","Fill=—","Direction=H","UseDPDF=Y")</f>
        <v>—</v>
      </c>
      <c r="W27" s="13" t="str">
        <f>_xll.BDH("ALNY US Equity","IS_G_L_ON_EXT_DBT_OR_SETTLE_DBT","FQ1 2024","FQ1 2024","Currency=USD","Period=FQ","BEST_FPERIOD_OVERRIDE=FQ","FILING_STATUS=MR","SCALING_FORMAT=MLN","Sort=A","Dates=H","DateFormat=P","Fill=—","Direction=H","UseDPDF=Y")</f>
        <v>—</v>
      </c>
      <c r="X27" s="13" t="str">
        <f>_xll.BDH("ALNY US Equity","IS_G_L_ON_EXT_DBT_OR_SETTLE_DBT","FQ2 2024","FQ2 2024","Currency=USD","Period=FQ","BEST_FPERIOD_OVERRIDE=FQ","FILING_STATUS=MR","SCALING_FORMAT=MLN","Sort=A","Dates=H","DateFormat=P","Fill=—","Direction=H","UseDPDF=Y")</f>
        <v>—</v>
      </c>
      <c r="Y27" s="13" t="str">
        <f>_xll.BDH("ALNY US Equity","IS_G_L_ON_EXT_DBT_OR_SETTLE_DBT","FQ3 2024","FQ3 2024","Currency=USD","Period=FQ","BEST_FPERIOD_OVERRIDE=FQ","FILING_STATUS=MR","SCALING_FORMAT=MLN","Sort=A","Dates=H","DateFormat=P","Fill=—","Direction=H","UseDPDF=Y")</f>
        <v>—</v>
      </c>
      <c r="Z27" s="13" t="str">
        <f>_xll.BDH("ALNY US Equity","IS_G_L_ON_EXT_DBT_OR_SETTLE_DBT","FQ4 2024","FQ4 2024","Currency=USD","Period=FQ","BEST_FPERIOD_OVERRIDE=FQ","FILING_STATUS=MR","SCALING_FORMAT=MLN","Sort=A","Dates=H","DateFormat=P","Fill=—","Direction=H","UseDPDF=Y")</f>
        <v>—</v>
      </c>
    </row>
    <row r="28" spans="1:26" x14ac:dyDescent="0.25">
      <c r="A28" s="10" t="s">
        <v>97</v>
      </c>
      <c r="B28" s="10" t="s">
        <v>98</v>
      </c>
      <c r="C28" s="13" t="str">
        <f>_xll.BDH("ALNY US Equity","IS_LEGAL_LITIGATION_SETTLEMENT","FQ1 2019","FQ1 2019","Currency=USD","Period=FQ","BEST_FPERIOD_OVERRIDE=FQ","FILING_STATUS=MR","SCALING_FORMAT=MLN","Sort=A","Dates=H","DateFormat=P","Fill=—","Direction=H","UseDPDF=Y")</f>
        <v>—</v>
      </c>
      <c r="D28" s="13" t="str">
        <f>_xll.BDH("ALNY US Equity","IS_LEGAL_LITIGATION_SETTLEMENT","FQ2 2019","FQ2 2019","Currency=USD","Period=FQ","BEST_FPERIOD_OVERRIDE=FQ","FILING_STATUS=MR","SCALING_FORMAT=MLN","Sort=A","Dates=H","DateFormat=P","Fill=—","Direction=H","UseDPDF=Y")</f>
        <v>—</v>
      </c>
      <c r="E28" s="13" t="str">
        <f>_xll.BDH("ALNY US Equity","IS_LEGAL_LITIGATION_SETTLEMENT","FQ3 2019","FQ3 2019","Currency=USD","Period=FQ","BEST_FPERIOD_OVERRIDE=FQ","FILING_STATUS=MR","SCALING_FORMAT=MLN","Sort=A","Dates=H","DateFormat=P","Fill=—","Direction=H","UseDPDF=Y")</f>
        <v>—</v>
      </c>
      <c r="F28" s="13" t="str">
        <f>_xll.BDH("ALNY US Equity","IS_LEGAL_LITIGATION_SETTLEMENT","FQ4 2019","FQ4 2019","Currency=USD","Period=FQ","BEST_FPERIOD_OVERRIDE=FQ","FILING_STATUS=MR","SCALING_FORMAT=MLN","Sort=A","Dates=H","DateFormat=P","Fill=—","Direction=H","UseDPDF=Y")</f>
        <v>—</v>
      </c>
      <c r="G28" s="13" t="str">
        <f>_xll.BDH("ALNY US Equity","IS_LEGAL_LITIGATION_SETTLEMENT","FQ1 2020","FQ1 2020","Currency=USD","Period=FQ","BEST_FPERIOD_OVERRIDE=FQ","FILING_STATUS=MR","SCALING_FORMAT=MLN","Sort=A","Dates=H","DateFormat=P","Fill=—","Direction=H","UseDPDF=Y")</f>
        <v>—</v>
      </c>
      <c r="H28" s="13">
        <f>_xll.BDH("ALNY US Equity","IS_LEGAL_LITIGATION_SETTLEMENT","FQ2 2020","FQ2 2020","Currency=USD","Period=FQ","BEST_FPERIOD_OVERRIDE=FQ","FILING_STATUS=MR","SCALING_FORMAT=MLN","Sort=A","Dates=H","DateFormat=P","Fill=—","Direction=H","UseDPDF=Y")</f>
        <v>-0.81269999999999998</v>
      </c>
      <c r="I28" s="13">
        <f>_xll.BDH("ALNY US Equity","IS_LEGAL_LITIGATION_SETTLEMENT","FQ3 2020","FQ3 2020","Currency=USD","Period=FQ","BEST_FPERIOD_OVERRIDE=FQ","FILING_STATUS=MR","SCALING_FORMAT=MLN","Sort=A","Dates=H","DateFormat=P","Fill=—","Direction=H","UseDPDF=Y")</f>
        <v>0.65</v>
      </c>
      <c r="J28" s="13" t="str">
        <f>_xll.BDH("ALNY US Equity","IS_LEGAL_LITIGATION_SETTLEMENT","FQ4 2020","FQ4 2020","Currency=USD","Period=FQ","BEST_FPERIOD_OVERRIDE=FQ","FILING_STATUS=MR","SCALING_FORMAT=MLN","Sort=A","Dates=H","DateFormat=P","Fill=—","Direction=H","UseDPDF=Y")</f>
        <v>—</v>
      </c>
      <c r="K28" s="13" t="str">
        <f>_xll.BDH("ALNY US Equity","IS_LEGAL_LITIGATION_SETTLEMENT","FQ1 2021","FQ1 2021","Currency=USD","Period=FQ","BEST_FPERIOD_OVERRIDE=FQ","FILING_STATUS=MR","SCALING_FORMAT=MLN","Sort=A","Dates=H","DateFormat=P","Fill=—","Direction=H","UseDPDF=Y")</f>
        <v>—</v>
      </c>
      <c r="L28" s="13" t="str">
        <f>_xll.BDH("ALNY US Equity","IS_LEGAL_LITIGATION_SETTLEMENT","FQ2 2021","FQ2 2021","Currency=USD","Period=FQ","BEST_FPERIOD_OVERRIDE=FQ","FILING_STATUS=MR","SCALING_FORMAT=MLN","Sort=A","Dates=H","DateFormat=P","Fill=—","Direction=H","UseDPDF=Y")</f>
        <v>—</v>
      </c>
      <c r="M28" s="13" t="str">
        <f>_xll.BDH("ALNY US Equity","IS_LEGAL_LITIGATION_SETTLEMENT","FQ3 2021","FQ3 2021","Currency=USD","Period=FQ","BEST_FPERIOD_OVERRIDE=FQ","FILING_STATUS=MR","SCALING_FORMAT=MLN","Sort=A","Dates=H","DateFormat=P","Fill=—","Direction=H","UseDPDF=Y")</f>
        <v>—</v>
      </c>
      <c r="N28" s="13" t="str">
        <f>_xll.BDH("ALNY US Equity","IS_LEGAL_LITIGATION_SETTLEMENT","FQ4 2021","FQ4 2021","Currency=USD","Period=FQ","BEST_FPERIOD_OVERRIDE=FQ","FILING_STATUS=MR","SCALING_FORMAT=MLN","Sort=A","Dates=H","DateFormat=P","Fill=—","Direction=H","UseDPDF=Y")</f>
        <v>—</v>
      </c>
      <c r="O28" s="13" t="str">
        <f>_xll.BDH("ALNY US Equity","IS_LEGAL_LITIGATION_SETTLEMENT","FQ1 2022","FQ1 2022","Currency=USD","Period=FQ","BEST_FPERIOD_OVERRIDE=FQ","FILING_STATUS=MR","SCALING_FORMAT=MLN","Sort=A","Dates=H","DateFormat=P","Fill=—","Direction=H","UseDPDF=Y")</f>
        <v>—</v>
      </c>
      <c r="P28" s="13" t="str">
        <f>_xll.BDH("ALNY US Equity","IS_LEGAL_LITIGATION_SETTLEMENT","FQ2 2022","FQ2 2022","Currency=USD","Period=FQ","BEST_FPERIOD_OVERRIDE=FQ","FILING_STATUS=MR","SCALING_FORMAT=MLN","Sort=A","Dates=H","DateFormat=P","Fill=—","Direction=H","UseDPDF=Y")</f>
        <v>—</v>
      </c>
      <c r="Q28" s="13" t="str">
        <f>_xll.BDH("ALNY US Equity","IS_LEGAL_LITIGATION_SETTLEMENT","FQ3 2022","FQ3 2022","Currency=USD","Period=FQ","BEST_FPERIOD_OVERRIDE=FQ","FILING_STATUS=MR","SCALING_FORMAT=MLN","Sort=A","Dates=H","DateFormat=P","Fill=—","Direction=H","UseDPDF=Y")</f>
        <v>—</v>
      </c>
      <c r="R28" s="13" t="str">
        <f>_xll.BDH("ALNY US Equity","IS_LEGAL_LITIGATION_SETTLEMENT","FQ4 2022","FQ4 2022","Currency=USD","Period=FQ","BEST_FPERIOD_OVERRIDE=FQ","FILING_STATUS=MR","SCALING_FORMAT=MLN","Sort=A","Dates=H","DateFormat=P","Fill=—","Direction=H","UseDPDF=Y")</f>
        <v>—</v>
      </c>
      <c r="S28" s="13" t="str">
        <f>_xll.BDH("ALNY US Equity","IS_LEGAL_LITIGATION_SETTLEMENT","FQ1 2023","FQ1 2023","Currency=USD","Period=FQ","BEST_FPERIOD_OVERRIDE=FQ","FILING_STATUS=MR","SCALING_FORMAT=MLN","Sort=A","Dates=H","DateFormat=P","Fill=—","Direction=H","UseDPDF=Y")</f>
        <v>—</v>
      </c>
      <c r="T28" s="13" t="str">
        <f>_xll.BDH("ALNY US Equity","IS_LEGAL_LITIGATION_SETTLEMENT","FQ2 2023","FQ2 2023","Currency=USD","Period=FQ","BEST_FPERIOD_OVERRIDE=FQ","FILING_STATUS=MR","SCALING_FORMAT=MLN","Sort=A","Dates=H","DateFormat=P","Fill=—","Direction=H","UseDPDF=Y")</f>
        <v>—</v>
      </c>
      <c r="U28" s="13" t="str">
        <f>_xll.BDH("ALNY US Equity","IS_LEGAL_LITIGATION_SETTLEMENT","FQ3 2023","FQ3 2023","Currency=USD","Period=FQ","BEST_FPERIOD_OVERRIDE=FQ","FILING_STATUS=MR","SCALING_FORMAT=MLN","Sort=A","Dates=H","DateFormat=P","Fill=—","Direction=H","UseDPDF=Y")</f>
        <v>—</v>
      </c>
      <c r="V28" s="13" t="str">
        <f>_xll.BDH("ALNY US Equity","IS_LEGAL_LITIGATION_SETTLEMENT","FQ4 2023","FQ4 2023","Currency=USD","Period=FQ","BEST_FPERIOD_OVERRIDE=FQ","FILING_STATUS=MR","SCALING_FORMAT=MLN","Sort=A","Dates=H","DateFormat=P","Fill=—","Direction=H","UseDPDF=Y")</f>
        <v>—</v>
      </c>
      <c r="W28" s="13" t="str">
        <f>_xll.BDH("ALNY US Equity","IS_LEGAL_LITIGATION_SETTLEMENT","FQ1 2024","FQ1 2024","Currency=USD","Period=FQ","BEST_FPERIOD_OVERRIDE=FQ","FILING_STATUS=MR","SCALING_FORMAT=MLN","Sort=A","Dates=H","DateFormat=P","Fill=—","Direction=H","UseDPDF=Y")</f>
        <v>—</v>
      </c>
      <c r="X28" s="13" t="str">
        <f>_xll.BDH("ALNY US Equity","IS_LEGAL_LITIGATION_SETTLEMENT","FQ2 2024","FQ2 2024","Currency=USD","Period=FQ","BEST_FPERIOD_OVERRIDE=FQ","FILING_STATUS=MR","SCALING_FORMAT=MLN","Sort=A","Dates=H","DateFormat=P","Fill=—","Direction=H","UseDPDF=Y")</f>
        <v>—</v>
      </c>
      <c r="Y28" s="13" t="str">
        <f>_xll.BDH("ALNY US Equity","IS_LEGAL_LITIGATION_SETTLEMENT","FQ3 2024","FQ3 2024","Currency=USD","Period=FQ","BEST_FPERIOD_OVERRIDE=FQ","FILING_STATUS=MR","SCALING_FORMAT=MLN","Sort=A","Dates=H","DateFormat=P","Fill=—","Direction=H","UseDPDF=Y")</f>
        <v>—</v>
      </c>
      <c r="Z28" s="13" t="str">
        <f>_xll.BDH("ALNY US Equity","IS_LEGAL_LITIGATION_SETTLEMENT","FQ4 2024","FQ4 2024","Currency=USD","Period=FQ","BEST_FPERIOD_OVERRIDE=FQ","FILING_STATUS=MR","SCALING_FORMAT=MLN","Sort=A","Dates=H","DateFormat=P","Fill=—","Direction=H","UseDPDF=Y")</f>
        <v>—</v>
      </c>
    </row>
    <row r="29" spans="1:26" x14ac:dyDescent="0.25">
      <c r="A29" s="10" t="s">
        <v>99</v>
      </c>
      <c r="B29" s="10" t="s">
        <v>100</v>
      </c>
      <c r="C29" s="13" t="str">
        <f>_xll.BDH("ALNY US Equity","IS_GAIN_LOSS_ON_INVESTMENTS","FQ1 2019","FQ1 2019","Currency=USD","Period=FQ","BEST_FPERIOD_OVERRIDE=FQ","FILING_STATUS=MR","SCALING_FORMAT=MLN","Sort=A","Dates=H","DateFormat=P","Fill=—","Direction=H","UseDPDF=Y")</f>
        <v>—</v>
      </c>
      <c r="D29" s="13" t="str">
        <f>_xll.BDH("ALNY US Equity","IS_GAIN_LOSS_ON_INVESTMENTS","FQ2 2019","FQ2 2019","Currency=USD","Period=FQ","BEST_FPERIOD_OVERRIDE=FQ","FILING_STATUS=MR","SCALING_FORMAT=MLN","Sort=A","Dates=H","DateFormat=P","Fill=—","Direction=H","UseDPDF=Y")</f>
        <v>—</v>
      </c>
      <c r="E29" s="13" t="str">
        <f>_xll.BDH("ALNY US Equity","IS_GAIN_LOSS_ON_INVESTMENTS","FQ3 2019","FQ3 2019","Currency=USD","Period=FQ","BEST_FPERIOD_OVERRIDE=FQ","FILING_STATUS=MR","SCALING_FORMAT=MLN","Sort=A","Dates=H","DateFormat=P","Fill=—","Direction=H","UseDPDF=Y")</f>
        <v>—</v>
      </c>
      <c r="F29" s="13">
        <f>_xll.BDH("ALNY US Equity","IS_GAIN_LOSS_ON_INVESTMENTS","FQ4 2019","FQ4 2019","Currency=USD","Period=FQ","BEST_FPERIOD_OVERRIDE=FQ","FILING_STATUS=MR","SCALING_FORMAT=MLN","Sort=A","Dates=H","DateFormat=P","Fill=—","Direction=H","UseDPDF=Y")</f>
        <v>-14.262</v>
      </c>
      <c r="G29" s="13" t="str">
        <f>_xll.BDH("ALNY US Equity","IS_GAIN_LOSS_ON_INVESTMENTS","FQ1 2020","FQ1 2020","Currency=USD","Period=FQ","BEST_FPERIOD_OVERRIDE=FQ","FILING_STATUS=MR","SCALING_FORMAT=MLN","Sort=A","Dates=H","DateFormat=P","Fill=—","Direction=H","UseDPDF=Y")</f>
        <v>—</v>
      </c>
      <c r="H29" s="13" t="str">
        <f>_xll.BDH("ALNY US Equity","IS_GAIN_LOSS_ON_INVESTMENTS","FQ2 2020","FQ2 2020","Currency=USD","Period=FQ","BEST_FPERIOD_OVERRIDE=FQ","FILING_STATUS=MR","SCALING_FORMAT=MLN","Sort=A","Dates=H","DateFormat=P","Fill=—","Direction=H","UseDPDF=Y")</f>
        <v>—</v>
      </c>
      <c r="I29" s="13" t="str">
        <f>_xll.BDH("ALNY US Equity","IS_GAIN_LOSS_ON_INVESTMENTS","FQ3 2020","FQ3 2020","Currency=USD","Period=FQ","BEST_FPERIOD_OVERRIDE=FQ","FILING_STATUS=MR","SCALING_FORMAT=MLN","Sort=A","Dates=H","DateFormat=P","Fill=—","Direction=H","UseDPDF=Y")</f>
        <v>—</v>
      </c>
      <c r="J29" s="13" t="str">
        <f>_xll.BDH("ALNY US Equity","IS_GAIN_LOSS_ON_INVESTMENTS","FQ4 2020","FQ4 2020","Currency=USD","Period=FQ","BEST_FPERIOD_OVERRIDE=FQ","FILING_STATUS=MR","SCALING_FORMAT=MLN","Sort=A","Dates=H","DateFormat=P","Fill=—","Direction=H","UseDPDF=Y")</f>
        <v>—</v>
      </c>
      <c r="K29" s="13" t="str">
        <f>_xll.BDH("ALNY US Equity","IS_GAIN_LOSS_ON_INVESTMENTS","FQ1 2021","FQ1 2021","Currency=USD","Period=FQ","BEST_FPERIOD_OVERRIDE=FQ","FILING_STATUS=MR","SCALING_FORMAT=MLN","Sort=A","Dates=H","DateFormat=P","Fill=—","Direction=H","UseDPDF=Y")</f>
        <v>—</v>
      </c>
      <c r="L29" s="13" t="str">
        <f>_xll.BDH("ALNY US Equity","IS_GAIN_LOSS_ON_INVESTMENTS","FQ2 2021","FQ2 2021","Currency=USD","Period=FQ","BEST_FPERIOD_OVERRIDE=FQ","FILING_STATUS=MR","SCALING_FORMAT=MLN","Sort=A","Dates=H","DateFormat=P","Fill=—","Direction=H","UseDPDF=Y")</f>
        <v>—</v>
      </c>
      <c r="M29" s="13" t="str">
        <f>_xll.BDH("ALNY US Equity","IS_GAIN_LOSS_ON_INVESTMENTS","FQ3 2021","FQ3 2021","Currency=USD","Period=FQ","BEST_FPERIOD_OVERRIDE=FQ","FILING_STATUS=MR","SCALING_FORMAT=MLN","Sort=A","Dates=H","DateFormat=P","Fill=—","Direction=H","UseDPDF=Y")</f>
        <v>—</v>
      </c>
      <c r="N29" s="13" t="str">
        <f>_xll.BDH("ALNY US Equity","IS_GAIN_LOSS_ON_INVESTMENTS","FQ4 2021","FQ4 2021","Currency=USD","Period=FQ","BEST_FPERIOD_OVERRIDE=FQ","FILING_STATUS=MR","SCALING_FORMAT=MLN","Sort=A","Dates=H","DateFormat=P","Fill=—","Direction=H","UseDPDF=Y")</f>
        <v>—</v>
      </c>
      <c r="O29" s="13" t="str">
        <f>_xll.BDH("ALNY US Equity","IS_GAIN_LOSS_ON_INVESTMENTS","FQ1 2022","FQ1 2022","Currency=USD","Period=FQ","BEST_FPERIOD_OVERRIDE=FQ","FILING_STATUS=MR","SCALING_FORMAT=MLN","Sort=A","Dates=H","DateFormat=P","Fill=—","Direction=H","UseDPDF=Y")</f>
        <v>—</v>
      </c>
      <c r="P29" s="13" t="str">
        <f>_xll.BDH("ALNY US Equity","IS_GAIN_LOSS_ON_INVESTMENTS","FQ2 2022","FQ2 2022","Currency=USD","Period=FQ","BEST_FPERIOD_OVERRIDE=FQ","FILING_STATUS=MR","SCALING_FORMAT=MLN","Sort=A","Dates=H","DateFormat=P","Fill=—","Direction=H","UseDPDF=Y")</f>
        <v>—</v>
      </c>
      <c r="Q29" s="13" t="str">
        <f>_xll.BDH("ALNY US Equity","IS_GAIN_LOSS_ON_INVESTMENTS","FQ3 2022","FQ3 2022","Currency=USD","Period=FQ","BEST_FPERIOD_OVERRIDE=FQ","FILING_STATUS=MR","SCALING_FORMAT=MLN","Sort=A","Dates=H","DateFormat=P","Fill=—","Direction=H","UseDPDF=Y")</f>
        <v>—</v>
      </c>
      <c r="R29" s="13" t="str">
        <f>_xll.BDH("ALNY US Equity","IS_GAIN_LOSS_ON_INVESTMENTS","FQ4 2022","FQ4 2022","Currency=USD","Period=FQ","BEST_FPERIOD_OVERRIDE=FQ","FILING_STATUS=MR","SCALING_FORMAT=MLN","Sort=A","Dates=H","DateFormat=P","Fill=—","Direction=H","UseDPDF=Y")</f>
        <v>—</v>
      </c>
      <c r="S29" s="13" t="str">
        <f>_xll.BDH("ALNY US Equity","IS_GAIN_LOSS_ON_INVESTMENTS","FQ1 2023","FQ1 2023","Currency=USD","Period=FQ","BEST_FPERIOD_OVERRIDE=FQ","FILING_STATUS=MR","SCALING_FORMAT=MLN","Sort=A","Dates=H","DateFormat=P","Fill=—","Direction=H","UseDPDF=Y")</f>
        <v>—</v>
      </c>
      <c r="T29" s="13" t="str">
        <f>_xll.BDH("ALNY US Equity","IS_GAIN_LOSS_ON_INVESTMENTS","FQ2 2023","FQ2 2023","Currency=USD","Period=FQ","BEST_FPERIOD_OVERRIDE=FQ","FILING_STATUS=MR","SCALING_FORMAT=MLN","Sort=A","Dates=H","DateFormat=P","Fill=—","Direction=H","UseDPDF=Y")</f>
        <v>—</v>
      </c>
      <c r="U29" s="13" t="str">
        <f>_xll.BDH("ALNY US Equity","IS_GAIN_LOSS_ON_INVESTMENTS","FQ3 2023","FQ3 2023","Currency=USD","Period=FQ","BEST_FPERIOD_OVERRIDE=FQ","FILING_STATUS=MR","SCALING_FORMAT=MLN","Sort=A","Dates=H","DateFormat=P","Fill=—","Direction=H","UseDPDF=Y")</f>
        <v>—</v>
      </c>
      <c r="V29" s="13" t="str">
        <f>_xll.BDH("ALNY US Equity","IS_GAIN_LOSS_ON_INVESTMENTS","FQ4 2023","FQ4 2023","Currency=USD","Period=FQ","BEST_FPERIOD_OVERRIDE=FQ","FILING_STATUS=MR","SCALING_FORMAT=MLN","Sort=A","Dates=H","DateFormat=P","Fill=—","Direction=H","UseDPDF=Y")</f>
        <v>—</v>
      </c>
      <c r="W29" s="13" t="str">
        <f>_xll.BDH("ALNY US Equity","IS_GAIN_LOSS_ON_INVESTMENTS","FQ1 2024","FQ1 2024","Currency=USD","Period=FQ","BEST_FPERIOD_OVERRIDE=FQ","FILING_STATUS=MR","SCALING_FORMAT=MLN","Sort=A","Dates=H","DateFormat=P","Fill=—","Direction=H","UseDPDF=Y")</f>
        <v>—</v>
      </c>
      <c r="X29" s="13" t="str">
        <f>_xll.BDH("ALNY US Equity","IS_GAIN_LOSS_ON_INVESTMENTS","FQ2 2024","FQ2 2024","Currency=USD","Period=FQ","BEST_FPERIOD_OVERRIDE=FQ","FILING_STATUS=MR","SCALING_FORMAT=MLN","Sort=A","Dates=H","DateFormat=P","Fill=—","Direction=H","UseDPDF=Y")</f>
        <v>—</v>
      </c>
      <c r="Y29" s="13" t="str">
        <f>_xll.BDH("ALNY US Equity","IS_GAIN_LOSS_ON_INVESTMENTS","FQ3 2024","FQ3 2024","Currency=USD","Period=FQ","BEST_FPERIOD_OVERRIDE=FQ","FILING_STATUS=MR","SCALING_FORMAT=MLN","Sort=A","Dates=H","DateFormat=P","Fill=—","Direction=H","UseDPDF=Y")</f>
        <v>—</v>
      </c>
      <c r="Z29" s="13" t="str">
        <f>_xll.BDH("ALNY US Equity","IS_GAIN_LOSS_ON_INVESTMENTS","FQ4 2024","FQ4 2024","Currency=USD","Period=FQ","BEST_FPERIOD_OVERRIDE=FQ","FILING_STATUS=MR","SCALING_FORMAT=MLN","Sort=A","Dates=H","DateFormat=P","Fill=—","Direction=H","UseDPDF=Y")</f>
        <v>—</v>
      </c>
    </row>
    <row r="30" spans="1:26" x14ac:dyDescent="0.25">
      <c r="A30" s="10" t="s">
        <v>101</v>
      </c>
      <c r="B30" s="10" t="s">
        <v>102</v>
      </c>
      <c r="C30" s="13" t="str">
        <f>_xll.BDH("ALNY US Equity","IS_UNREALIZED_INVESTMENTS","FQ1 2019","FQ1 2019","Currency=USD","Period=FQ","BEST_FPERIOD_OVERRIDE=FQ","FILING_STATUS=MR","SCALING_FORMAT=MLN","Sort=A","Dates=H","DateFormat=P","Fill=—","Direction=H","UseDPDF=Y")</f>
        <v>—</v>
      </c>
      <c r="D30" s="13" t="str">
        <f>_xll.BDH("ALNY US Equity","IS_UNREALIZED_INVESTMENTS","FQ2 2019","FQ2 2019","Currency=USD","Period=FQ","BEST_FPERIOD_OVERRIDE=FQ","FILING_STATUS=MR","SCALING_FORMAT=MLN","Sort=A","Dates=H","DateFormat=P","Fill=—","Direction=H","UseDPDF=Y")</f>
        <v>—</v>
      </c>
      <c r="E30" s="13" t="str">
        <f>_xll.BDH("ALNY US Equity","IS_UNREALIZED_INVESTMENTS","FQ3 2019","FQ3 2019","Currency=USD","Period=FQ","BEST_FPERIOD_OVERRIDE=FQ","FILING_STATUS=MR","SCALING_FORMAT=MLN","Sort=A","Dates=H","DateFormat=P","Fill=—","Direction=H","UseDPDF=Y")</f>
        <v>—</v>
      </c>
      <c r="F30" s="13" t="str">
        <f>_xll.BDH("ALNY US Equity","IS_UNREALIZED_INVESTMENTS","FQ4 2019","FQ4 2019","Currency=USD","Period=FQ","BEST_FPERIOD_OVERRIDE=FQ","FILING_STATUS=MR","SCALING_FORMAT=MLN","Sort=A","Dates=H","DateFormat=P","Fill=—","Direction=H","UseDPDF=Y")</f>
        <v>—</v>
      </c>
      <c r="G30" s="13">
        <f>_xll.BDH("ALNY US Equity","IS_UNREALIZED_INVESTMENTS","FQ1 2020","FQ1 2020","Currency=USD","Period=FQ","BEST_FPERIOD_OVERRIDE=FQ","FILING_STATUS=MR","SCALING_FORMAT=MLN","Sort=A","Dates=H","DateFormat=P","Fill=—","Direction=H","UseDPDF=Y")</f>
        <v>-24.111000000000001</v>
      </c>
      <c r="H30" s="13">
        <f>_xll.BDH("ALNY US Equity","IS_UNREALIZED_INVESTMENTS","FQ2 2020","FQ2 2020","Currency=USD","Period=FQ","BEST_FPERIOD_OVERRIDE=FQ","FILING_STATUS=MR","SCALING_FORMAT=MLN","Sort=A","Dates=H","DateFormat=P","Fill=—","Direction=H","UseDPDF=Y")</f>
        <v>-57.635399999999997</v>
      </c>
      <c r="I30" s="13">
        <f>_xll.BDH("ALNY US Equity","IS_UNREALIZED_INVESTMENTS","FQ3 2020","FQ3 2020","Currency=USD","Period=FQ","BEST_FPERIOD_OVERRIDE=FQ","FILING_STATUS=MR","SCALING_FORMAT=MLN","Sort=A","Dates=H","DateFormat=P","Fill=—","Direction=H","UseDPDF=Y")</f>
        <v>3.0169999999999999</v>
      </c>
      <c r="J30" s="13">
        <f>_xll.BDH("ALNY US Equity","IS_UNREALIZED_INVESTMENTS","FQ4 2020","FQ4 2020","Currency=USD","Period=FQ","BEST_FPERIOD_OVERRIDE=FQ","FILING_STATUS=MR","SCALING_FORMAT=MLN","Sort=A","Dates=H","DateFormat=P","Fill=—","Direction=H","UseDPDF=Y")</f>
        <v>15.9291</v>
      </c>
      <c r="K30" s="13">
        <f>_xll.BDH("ALNY US Equity","IS_UNREALIZED_INVESTMENTS","FQ1 2021","FQ1 2021","Currency=USD","Period=FQ","BEST_FPERIOD_OVERRIDE=FQ","FILING_STATUS=MR","SCALING_FORMAT=MLN","Sort=A","Dates=H","DateFormat=P","Fill=—","Direction=H","UseDPDF=Y")</f>
        <v>-47.015999999999998</v>
      </c>
      <c r="L30" s="13">
        <f>_xll.BDH("ALNY US Equity","IS_UNREALIZED_INVESTMENTS","FQ2 2021","FQ2 2021","Currency=USD","Period=FQ","BEST_FPERIOD_OVERRIDE=FQ","FILING_STATUS=MR","SCALING_FORMAT=MLN","Sort=A","Dates=H","DateFormat=P","Fill=—","Direction=H","UseDPDF=Y")</f>
        <v>5.6127000000000002</v>
      </c>
      <c r="M30" s="13">
        <f>_xll.BDH("ALNY US Equity","IS_UNREALIZED_INVESTMENTS","FQ3 2021","FQ3 2021","Currency=USD","Period=FQ","BEST_FPERIOD_OVERRIDE=FQ","FILING_STATUS=MR","SCALING_FORMAT=MLN","Sort=A","Dates=H","DateFormat=P","Fill=—","Direction=H","UseDPDF=Y")</f>
        <v>-18.690999999999999</v>
      </c>
      <c r="N30" s="13">
        <f>_xll.BDH("ALNY US Equity","IS_UNREALIZED_INVESTMENTS","FQ4 2021","FQ4 2021","Currency=USD","Period=FQ","BEST_FPERIOD_OVERRIDE=FQ","FILING_STATUS=MR","SCALING_FORMAT=MLN","Sort=A","Dates=H","DateFormat=P","Fill=—","Direction=H","UseDPDF=Y")</f>
        <v>5.5780000000000003</v>
      </c>
      <c r="O30" s="13">
        <f>_xll.BDH("ALNY US Equity","IS_UNREALIZED_INVESTMENTS","FQ1 2022","FQ1 2022","Currency=USD","Period=FQ","BEST_FPERIOD_OVERRIDE=FQ","FILING_STATUS=MR","SCALING_FORMAT=MLN","Sort=A","Dates=H","DateFormat=P","Fill=—","Direction=H","UseDPDF=Y")</f>
        <v>31.161000000000001</v>
      </c>
      <c r="P30" s="13">
        <f>_xll.BDH("ALNY US Equity","IS_UNREALIZED_INVESTMENTS","FQ2 2022","FQ2 2022","Currency=USD","Period=FQ","BEST_FPERIOD_OVERRIDE=FQ","FILING_STATUS=MR","SCALING_FORMAT=MLN","Sort=A","Dates=H","DateFormat=P","Fill=—","Direction=H","UseDPDF=Y")</f>
        <v>1.097</v>
      </c>
      <c r="Q30" s="13">
        <f>_xll.BDH("ALNY US Equity","IS_UNREALIZED_INVESTMENTS","FQ3 2022","FQ3 2022","Currency=USD","Period=FQ","BEST_FPERIOD_OVERRIDE=FQ","FILING_STATUS=MR","SCALING_FORMAT=MLN","Sort=A","Dates=H","DateFormat=P","Fill=—","Direction=H","UseDPDF=Y")</f>
        <v>7.85</v>
      </c>
      <c r="R30" s="13">
        <f>_xll.BDH("ALNY US Equity","IS_UNREALIZED_INVESTMENTS","FQ4 2022","FQ4 2022","Currency=USD","Period=FQ","BEST_FPERIOD_OVERRIDE=FQ","FILING_STATUS=MR","SCALING_FORMAT=MLN","Sort=A","Dates=H","DateFormat=P","Fill=—","Direction=H","UseDPDF=Y")</f>
        <v>-6.7960000000000003</v>
      </c>
      <c r="S30" s="13">
        <f>_xll.BDH("ALNY US Equity","IS_UNREALIZED_INVESTMENTS","FQ1 2023","FQ1 2023","Currency=USD","Period=FQ","BEST_FPERIOD_OVERRIDE=FQ","FILING_STATUS=MR","SCALING_FORMAT=MLN","Sort=A","Dates=H","DateFormat=P","Fill=—","Direction=H","UseDPDF=Y")</f>
        <v>2.2669999999999999</v>
      </c>
      <c r="T30" s="13">
        <f>_xll.BDH("ALNY US Equity","IS_UNREALIZED_INVESTMENTS","FQ2 2023","FQ2 2023","Currency=USD","Period=FQ","BEST_FPERIOD_OVERRIDE=FQ","FILING_STATUS=MR","SCALING_FORMAT=MLN","Sort=A","Dates=H","DateFormat=P","Fill=—","Direction=H","UseDPDF=Y")</f>
        <v>-1.4</v>
      </c>
      <c r="U30" s="13">
        <f>_xll.BDH("ALNY US Equity","IS_UNREALIZED_INVESTMENTS","FQ3 2023","FQ3 2023","Currency=USD","Period=FQ","BEST_FPERIOD_OVERRIDE=FQ","FILING_STATUS=MR","SCALING_FORMAT=MLN","Sort=A","Dates=H","DateFormat=P","Fill=—","Direction=H","UseDPDF=Y")</f>
        <v>16.844000000000001</v>
      </c>
      <c r="V30" s="13">
        <f>_xll.BDH("ALNY US Equity","IS_UNREALIZED_INVESTMENTS","FQ4 2023","FQ4 2023","Currency=USD","Period=FQ","BEST_FPERIOD_OVERRIDE=FQ","FILING_STATUS=MR","SCALING_FORMAT=MLN","Sort=A","Dates=H","DateFormat=P","Fill=—","Direction=H","UseDPDF=Y")</f>
        <v>-0.76700000000000002</v>
      </c>
      <c r="W30" s="13">
        <f>_xll.BDH("ALNY US Equity","IS_UNREALIZED_INVESTMENTS","FQ1 2024","FQ1 2024","Currency=USD","Period=FQ","BEST_FPERIOD_OVERRIDE=FQ","FILING_STATUS=MR","SCALING_FORMAT=MLN","Sort=A","Dates=H","DateFormat=P","Fill=—","Direction=H","UseDPDF=Y")</f>
        <v>-7.8E-2</v>
      </c>
      <c r="X30" s="13">
        <f>_xll.BDH("ALNY US Equity","IS_UNREALIZED_INVESTMENTS","FQ2 2024","FQ2 2024","Currency=USD","Period=FQ","BEST_FPERIOD_OVERRIDE=FQ","FILING_STATUS=MR","SCALING_FORMAT=MLN","Sort=A","Dates=H","DateFormat=P","Fill=—","Direction=H","UseDPDF=Y")</f>
        <v>1.367</v>
      </c>
      <c r="Y30" s="13">
        <f>_xll.BDH("ALNY US Equity","IS_UNREALIZED_INVESTMENTS","FQ3 2024","FQ3 2024","Currency=USD","Period=FQ","BEST_FPERIOD_OVERRIDE=FQ","FILING_STATUS=MR","SCALING_FORMAT=MLN","Sort=A","Dates=H","DateFormat=P","Fill=—","Direction=H","UseDPDF=Y")</f>
        <v>1.5669999999999999</v>
      </c>
      <c r="Z30" s="13">
        <f>_xll.BDH("ALNY US Equity","IS_UNREALIZED_INVESTMENTS","FQ4 2024","FQ4 2024","Currency=USD","Period=FQ","BEST_FPERIOD_OVERRIDE=FQ","FILING_STATUS=MR","SCALING_FORMAT=MLN","Sort=A","Dates=H","DateFormat=P","Fill=—","Direction=H","UseDPDF=Y")</f>
        <v>0.16600000000000001</v>
      </c>
    </row>
    <row r="31" spans="1:26" x14ac:dyDescent="0.25">
      <c r="A31" s="10" t="s">
        <v>103</v>
      </c>
      <c r="B31" s="10" t="s">
        <v>104</v>
      </c>
      <c r="C31" s="13" t="str">
        <f>_xll.BDH("ALNY US Equity","IS_OTHER_ONE_TIME_ITEMS","FQ1 2019","FQ1 2019","Currency=USD","Period=FQ","BEST_FPERIOD_OVERRIDE=FQ","FILING_STATUS=MR","SCALING_FORMAT=MLN","Sort=A","Dates=H","DateFormat=P","Fill=—","Direction=H","UseDPDF=Y")</f>
        <v>—</v>
      </c>
      <c r="D31" s="13">
        <f>_xll.BDH("ALNY US Equity","IS_OTHER_ONE_TIME_ITEMS","FQ2 2019","FQ2 2019","Currency=USD","Period=FQ","BEST_FPERIOD_OVERRIDE=FQ","FILING_STATUS=MR","SCALING_FORMAT=MLN","Sort=A","Dates=H","DateFormat=P","Fill=—","Direction=H","UseDPDF=Y")</f>
        <v>-9.4220000000000006</v>
      </c>
      <c r="E31" s="13" t="str">
        <f>_xll.BDH("ALNY US Equity","IS_OTHER_ONE_TIME_ITEMS","FQ3 2019","FQ3 2019","Currency=USD","Period=FQ","BEST_FPERIOD_OVERRIDE=FQ","FILING_STATUS=MR","SCALING_FORMAT=MLN","Sort=A","Dates=H","DateFormat=P","Fill=—","Direction=H","UseDPDF=Y")</f>
        <v>—</v>
      </c>
      <c r="F31" s="13" t="str">
        <f>_xll.BDH("ALNY US Equity","IS_OTHER_ONE_TIME_ITEMS","FQ4 2019","FQ4 2019","Currency=USD","Period=FQ","BEST_FPERIOD_OVERRIDE=FQ","FILING_STATUS=MR","SCALING_FORMAT=MLN","Sort=A","Dates=H","DateFormat=P","Fill=—","Direction=H","UseDPDF=Y")</f>
        <v>—</v>
      </c>
      <c r="G31" s="13" t="str">
        <f>_xll.BDH("ALNY US Equity","IS_OTHER_ONE_TIME_ITEMS","FQ1 2020","FQ1 2020","Currency=USD","Period=FQ","BEST_FPERIOD_OVERRIDE=FQ","FILING_STATUS=MR","SCALING_FORMAT=MLN","Sort=A","Dates=H","DateFormat=P","Fill=—","Direction=H","UseDPDF=Y")</f>
        <v>—</v>
      </c>
      <c r="H31" s="13">
        <f>_xll.BDH("ALNY US Equity","IS_OTHER_ONE_TIME_ITEMS","FQ2 2020","FQ2 2020","Currency=USD","Period=FQ","BEST_FPERIOD_OVERRIDE=FQ","FILING_STATUS=MR","SCALING_FORMAT=MLN","Sort=A","Dates=H","DateFormat=P","Fill=—","Direction=H","UseDPDF=Y")</f>
        <v>0.32</v>
      </c>
      <c r="I31" s="13">
        <f>_xll.BDH("ALNY US Equity","IS_OTHER_ONE_TIME_ITEMS","FQ3 2020","FQ3 2020","Currency=USD","Period=FQ","BEST_FPERIOD_OVERRIDE=FQ","FILING_STATUS=MR","SCALING_FORMAT=MLN","Sort=A","Dates=H","DateFormat=P","Fill=—","Direction=H","UseDPDF=Y")</f>
        <v>0.76300000000000001</v>
      </c>
      <c r="J31" s="13" t="str">
        <f>_xll.BDH("ALNY US Equity","IS_OTHER_ONE_TIME_ITEMS","FQ4 2020","FQ4 2020","Currency=USD","Period=FQ","BEST_FPERIOD_OVERRIDE=FQ","FILING_STATUS=MR","SCALING_FORMAT=MLN","Sort=A","Dates=H","DateFormat=P","Fill=—","Direction=H","UseDPDF=Y")</f>
        <v>—</v>
      </c>
      <c r="K31" s="13" t="str">
        <f>_xll.BDH("ALNY US Equity","IS_OTHER_ONE_TIME_ITEMS","FQ1 2021","FQ1 2021","Currency=USD","Period=FQ","BEST_FPERIOD_OVERRIDE=FQ","FILING_STATUS=MR","SCALING_FORMAT=MLN","Sort=A","Dates=H","DateFormat=P","Fill=—","Direction=H","UseDPDF=Y")</f>
        <v>—</v>
      </c>
      <c r="L31" s="13" t="str">
        <f>_xll.BDH("ALNY US Equity","IS_OTHER_ONE_TIME_ITEMS","FQ2 2021","FQ2 2021","Currency=USD","Period=FQ","BEST_FPERIOD_OVERRIDE=FQ","FILING_STATUS=MR","SCALING_FORMAT=MLN","Sort=A","Dates=H","DateFormat=P","Fill=—","Direction=H","UseDPDF=Y")</f>
        <v>—</v>
      </c>
      <c r="M31" s="13">
        <f>_xll.BDH("ALNY US Equity","IS_OTHER_ONE_TIME_ITEMS","FQ3 2021","FQ3 2021","Currency=USD","Period=FQ","BEST_FPERIOD_OVERRIDE=FQ","FILING_STATUS=MR","SCALING_FORMAT=MLN","Sort=A","Dates=H","DateFormat=P","Fill=—","Direction=H","UseDPDF=Y")</f>
        <v>10</v>
      </c>
      <c r="N31" s="13" t="str">
        <f>_xll.BDH("ALNY US Equity","IS_OTHER_ONE_TIME_ITEMS","FQ4 2021","FQ4 2021","Currency=USD","Period=FQ","BEST_FPERIOD_OVERRIDE=FQ","FILING_STATUS=MR","SCALING_FORMAT=MLN","Sort=A","Dates=H","DateFormat=P","Fill=—","Direction=H","UseDPDF=Y")</f>
        <v>—</v>
      </c>
      <c r="O31" s="13" t="str">
        <f>_xll.BDH("ALNY US Equity","IS_OTHER_ONE_TIME_ITEMS","FQ1 2022","FQ1 2022","Currency=USD","Period=FQ","BEST_FPERIOD_OVERRIDE=FQ","FILING_STATUS=MR","SCALING_FORMAT=MLN","Sort=A","Dates=H","DateFormat=P","Fill=—","Direction=H","UseDPDF=Y")</f>
        <v>—</v>
      </c>
      <c r="P31" s="13" t="str">
        <f>_xll.BDH("ALNY US Equity","IS_OTHER_ONE_TIME_ITEMS","FQ2 2022","FQ2 2022","Currency=USD","Period=FQ","BEST_FPERIOD_OVERRIDE=FQ","FILING_STATUS=MR","SCALING_FORMAT=MLN","Sort=A","Dates=H","DateFormat=P","Fill=—","Direction=H","UseDPDF=Y")</f>
        <v>—</v>
      </c>
      <c r="Q31" s="13" t="str">
        <f>_xll.BDH("ALNY US Equity","IS_OTHER_ONE_TIME_ITEMS","FQ3 2022","FQ3 2022","Currency=USD","Period=FQ","BEST_FPERIOD_OVERRIDE=FQ","FILING_STATUS=MR","SCALING_FORMAT=MLN","Sort=A","Dates=H","DateFormat=P","Fill=—","Direction=H","UseDPDF=Y")</f>
        <v>—</v>
      </c>
      <c r="R31" s="13" t="str">
        <f>_xll.BDH("ALNY US Equity","IS_OTHER_ONE_TIME_ITEMS","FQ4 2022","FQ4 2022","Currency=USD","Period=FQ","BEST_FPERIOD_OVERRIDE=FQ","FILING_STATUS=MR","SCALING_FORMAT=MLN","Sort=A","Dates=H","DateFormat=P","Fill=—","Direction=H","UseDPDF=Y")</f>
        <v>—</v>
      </c>
      <c r="S31" s="13" t="str">
        <f>_xll.BDH("ALNY US Equity","IS_OTHER_ONE_TIME_ITEMS","FQ1 2023","FQ1 2023","Currency=USD","Period=FQ","BEST_FPERIOD_OVERRIDE=FQ","FILING_STATUS=MR","SCALING_FORMAT=MLN","Sort=A","Dates=H","DateFormat=P","Fill=—","Direction=H","UseDPDF=Y")</f>
        <v>—</v>
      </c>
      <c r="T31" s="13" t="str">
        <f>_xll.BDH("ALNY US Equity","IS_OTHER_ONE_TIME_ITEMS","FQ2 2023","FQ2 2023","Currency=USD","Period=FQ","BEST_FPERIOD_OVERRIDE=FQ","FILING_STATUS=MR","SCALING_FORMAT=MLN","Sort=A","Dates=H","DateFormat=P","Fill=—","Direction=H","UseDPDF=Y")</f>
        <v>—</v>
      </c>
      <c r="U31" s="13" t="str">
        <f>_xll.BDH("ALNY US Equity","IS_OTHER_ONE_TIME_ITEMS","FQ3 2023","FQ3 2023","Currency=USD","Period=FQ","BEST_FPERIOD_OVERRIDE=FQ","FILING_STATUS=MR","SCALING_FORMAT=MLN","Sort=A","Dates=H","DateFormat=P","Fill=—","Direction=H","UseDPDF=Y")</f>
        <v>—</v>
      </c>
      <c r="V31" s="13" t="str">
        <f>_xll.BDH("ALNY US Equity","IS_OTHER_ONE_TIME_ITEMS","FQ4 2023","FQ4 2023","Currency=USD","Period=FQ","BEST_FPERIOD_OVERRIDE=FQ","FILING_STATUS=MR","SCALING_FORMAT=MLN","Sort=A","Dates=H","DateFormat=P","Fill=—","Direction=H","UseDPDF=Y")</f>
        <v>—</v>
      </c>
      <c r="W31" s="13" t="str">
        <f>_xll.BDH("ALNY US Equity","IS_OTHER_ONE_TIME_ITEMS","FQ1 2024","FQ1 2024","Currency=USD","Period=FQ","BEST_FPERIOD_OVERRIDE=FQ","FILING_STATUS=MR","SCALING_FORMAT=MLN","Sort=A","Dates=H","DateFormat=P","Fill=—","Direction=H","UseDPDF=Y")</f>
        <v>—</v>
      </c>
      <c r="X31" s="13" t="str">
        <f>_xll.BDH("ALNY US Equity","IS_OTHER_ONE_TIME_ITEMS","FQ2 2024","FQ2 2024","Currency=USD","Period=FQ","BEST_FPERIOD_OVERRIDE=FQ","FILING_STATUS=MR","SCALING_FORMAT=MLN","Sort=A","Dates=H","DateFormat=P","Fill=—","Direction=H","UseDPDF=Y")</f>
        <v>—</v>
      </c>
      <c r="Y31" s="13" t="str">
        <f>_xll.BDH("ALNY US Equity","IS_OTHER_ONE_TIME_ITEMS","FQ3 2024","FQ3 2024","Currency=USD","Period=FQ","BEST_FPERIOD_OVERRIDE=FQ","FILING_STATUS=MR","SCALING_FORMAT=MLN","Sort=A","Dates=H","DateFormat=P","Fill=—","Direction=H","UseDPDF=Y")</f>
        <v>—</v>
      </c>
      <c r="Z31" s="13" t="str">
        <f>_xll.BDH("ALNY US Equity","IS_OTHER_ONE_TIME_ITEMS","FQ4 2024","FQ4 2024","Currency=USD","Period=FQ","BEST_FPERIOD_OVERRIDE=FQ","FILING_STATUS=MR","SCALING_FORMAT=MLN","Sort=A","Dates=H","DateFormat=P","Fill=—","Direction=H","UseDPDF=Y")</f>
        <v>—</v>
      </c>
    </row>
    <row r="32" spans="1:26" x14ac:dyDescent="0.25">
      <c r="A32" s="6" t="s">
        <v>105</v>
      </c>
      <c r="B32" s="6" t="s">
        <v>90</v>
      </c>
      <c r="C32" s="16">
        <f>_xll.BDH("ALNY US Equity","PRETAX_INC","FQ1 2019","FQ1 2019","Currency=USD","Period=FQ","BEST_FPERIOD_OVERRIDE=FQ","FILING_STATUS=MR","SCALING_FORMAT=MLN","FA_ADJUSTED=GAAP","Sort=A","Dates=H","DateFormat=P","Fill=—","Direction=H","UseDPDF=Y")</f>
        <v>-181.22</v>
      </c>
      <c r="D32" s="16">
        <f>_xll.BDH("ALNY US Equity","PRETAX_INC","FQ2 2019","FQ2 2019","Currency=USD","Period=FQ","BEST_FPERIOD_OVERRIDE=FQ","FILING_STATUS=MR","SCALING_FORMAT=MLN","FA_ADJUSTED=GAAP","Sort=A","Dates=H","DateFormat=P","Fill=—","Direction=H","UseDPDF=Y")</f>
        <v>-218.52099999999999</v>
      </c>
      <c r="E32" s="16">
        <f>_xll.BDH("ALNY US Equity","PRETAX_INC","FQ3 2019","FQ3 2019","Currency=USD","Period=FQ","BEST_FPERIOD_OVERRIDE=FQ","FILING_STATUS=MR","SCALING_FORMAT=MLN","FA_ADJUSTED=GAAP","Sort=A","Dates=H","DateFormat=P","Fill=—","Direction=H","UseDPDF=Y")</f>
        <v>-208.929</v>
      </c>
      <c r="F32" s="16">
        <f>_xll.BDH("ALNY US Equity","PRETAX_INC","FQ4 2019","FQ4 2019","Currency=USD","Period=FQ","BEST_FPERIOD_OVERRIDE=FQ","FILING_STATUS=MR","SCALING_FORMAT=MLN","FA_ADJUSTED=GAAP","Sort=A","Dates=H","DateFormat=P","Fill=—","Direction=H","UseDPDF=Y")</f>
        <v>-276.58300000000003</v>
      </c>
      <c r="G32" s="16">
        <f>_xll.BDH("ALNY US Equity","PRETAX_INC","FQ1 2020","FQ1 2020","Currency=USD","Period=FQ","BEST_FPERIOD_OVERRIDE=FQ","FILING_STATUS=MR","SCALING_FORMAT=MLN","FA_ADJUSTED=GAAP","Sort=A","Dates=H","DateFormat=P","Fill=—","Direction=H","UseDPDF=Y")</f>
        <v>-181.64599999999999</v>
      </c>
      <c r="H32" s="16">
        <f>_xll.BDH("ALNY US Equity","PRETAX_INC","FQ2 2020","FQ2 2020","Currency=USD","Period=FQ","BEST_FPERIOD_OVERRIDE=FQ","FILING_STATUS=MR","SCALING_FORMAT=MLN","FA_ADJUSTED=GAAP","Sort=A","Dates=H","DateFormat=P","Fill=—","Direction=H","UseDPDF=Y")</f>
        <v>-177.90299999999999</v>
      </c>
      <c r="I32" s="16">
        <f>_xll.BDH("ALNY US Equity","PRETAX_INC","FQ3 2020","FQ3 2020","Currency=USD","Period=FQ","BEST_FPERIOD_OVERRIDE=FQ","FILING_STATUS=MR","SCALING_FORMAT=MLN","FA_ADJUSTED=GAAP","Sort=A","Dates=H","DateFormat=P","Fill=—","Direction=H","UseDPDF=Y")</f>
        <v>-252.452</v>
      </c>
      <c r="J32" s="16">
        <f>_xll.BDH("ALNY US Equity","PRETAX_INC","FQ4 2020","FQ4 2020","Currency=USD","Period=FQ","BEST_FPERIOD_OVERRIDE=FQ","FILING_STATUS=MR","SCALING_FORMAT=MLN","FA_ADJUSTED=GAAP","Sort=A","Dates=H","DateFormat=P","Fill=—","Direction=H","UseDPDF=Y")</f>
        <v>-243.59899999999999</v>
      </c>
      <c r="K32" s="16">
        <f>_xll.BDH("ALNY US Equity","PRETAX_INC","FQ1 2021","FQ1 2021","Currency=USD","Period=FQ","BEST_FPERIOD_OVERRIDE=FQ","FILING_STATUS=MR","SCALING_FORMAT=MLN","FA_ADJUSTED=GAAP","Sort=A","Dates=H","DateFormat=P","Fill=—","Direction=H","UseDPDF=Y")</f>
        <v>-199.27500000000001</v>
      </c>
      <c r="L32" s="16">
        <f>_xll.BDH("ALNY US Equity","PRETAX_INC","FQ2 2021","FQ2 2021","Currency=USD","Period=FQ","BEST_FPERIOD_OVERRIDE=FQ","FILING_STATUS=MR","SCALING_FORMAT=MLN","FA_ADJUSTED=GAAP","Sort=A","Dates=H","DateFormat=P","Fill=—","Direction=H","UseDPDF=Y")</f>
        <v>-188.33099999999999</v>
      </c>
      <c r="M32" s="16">
        <f>_xll.BDH("ALNY US Equity","PRETAX_INC","FQ3 2021","FQ3 2021","Currency=USD","Period=FQ","BEST_FPERIOD_OVERRIDE=FQ","FILING_STATUS=MR","SCALING_FORMAT=MLN","FA_ADJUSTED=GAAP","Sort=A","Dates=H","DateFormat=P","Fill=—","Direction=H","UseDPDF=Y")</f>
        <v>-204.23599999999999</v>
      </c>
      <c r="N32" s="16">
        <f>_xll.BDH("ALNY US Equity","PRETAX_INC","FQ4 2021","FQ4 2021","Currency=USD","Period=FQ","BEST_FPERIOD_OVERRIDE=FQ","FILING_STATUS=MR","SCALING_FORMAT=MLN","FA_ADJUSTED=GAAP","Sort=A","Dates=H","DateFormat=P","Fill=—","Direction=H","UseDPDF=Y")</f>
        <v>-260.30200000000002</v>
      </c>
      <c r="O32" s="16">
        <f>_xll.BDH("ALNY US Equity","PRETAX_INC","FQ1 2022","FQ1 2022","Currency=USD","Period=FQ","BEST_FPERIOD_OVERRIDE=FQ","FILING_STATUS=MR","SCALING_FORMAT=MLN","FA_ADJUSTED=GAAP","Sort=A","Dates=H","DateFormat=P","Fill=—","Direction=H","UseDPDF=Y")</f>
        <v>-239.35599999999999</v>
      </c>
      <c r="P32" s="16">
        <f>_xll.BDH("ALNY US Equity","PRETAX_INC","FQ2 2022","FQ2 2022","Currency=USD","Period=FQ","BEST_FPERIOD_OVERRIDE=FQ","FILING_STATUS=MR","SCALING_FORMAT=MLN","FA_ADJUSTED=GAAP","Sort=A","Dates=H","DateFormat=P","Fill=—","Direction=H","UseDPDF=Y")</f>
        <v>-274.673</v>
      </c>
      <c r="Q32" s="16">
        <f>_xll.BDH("ALNY US Equity","PRETAX_INC","FQ3 2022","FQ3 2022","Currency=USD","Period=FQ","BEST_FPERIOD_OVERRIDE=FQ","FILING_STATUS=MR","SCALING_FORMAT=MLN","FA_ADJUSTED=GAAP","Sort=A","Dates=H","DateFormat=P","Fill=—","Direction=H","UseDPDF=Y")</f>
        <v>-405.94299999999998</v>
      </c>
      <c r="R32" s="16">
        <f>_xll.BDH("ALNY US Equity","PRETAX_INC","FQ4 2022","FQ4 2022","Currency=USD","Period=FQ","BEST_FPERIOD_OVERRIDE=FQ","FILING_STATUS=MR","SCALING_FORMAT=MLN","FA_ADJUSTED=GAAP","Sort=A","Dates=H","DateFormat=P","Fill=—","Direction=H","UseDPDF=Y")</f>
        <v>-207.02099999999999</v>
      </c>
      <c r="S32" s="16">
        <f>_xll.BDH("ALNY US Equity","PRETAX_INC","FQ1 2023","FQ1 2023","Currency=USD","Period=FQ","BEST_FPERIOD_OVERRIDE=FQ","FILING_STATUS=MR","SCALING_FORMAT=MLN","FA_ADJUSTED=GAAP","Sort=A","Dates=H","DateFormat=P","Fill=—","Direction=H","UseDPDF=Y")</f>
        <v>-172.36199999999999</v>
      </c>
      <c r="T32" s="16">
        <f>_xll.BDH("ALNY US Equity","PRETAX_INC","FQ2 2023","FQ2 2023","Currency=USD","Period=FQ","BEST_FPERIOD_OVERRIDE=FQ","FILING_STATUS=MR","SCALING_FORMAT=MLN","FA_ADJUSTED=GAAP","Sort=A","Dates=H","DateFormat=P","Fill=—","Direction=H","UseDPDF=Y")</f>
        <v>-274.209</v>
      </c>
      <c r="U32" s="16">
        <f>_xll.BDH("ALNY US Equity","PRETAX_INC","FQ3 2023","FQ3 2023","Currency=USD","Period=FQ","BEST_FPERIOD_OVERRIDE=FQ","FILING_STATUS=MR","SCALING_FORMAT=MLN","FA_ADJUSTED=GAAP","Sort=A","Dates=H","DateFormat=P","Fill=—","Direction=H","UseDPDF=Y")</f>
        <v>150.74100000000001</v>
      </c>
      <c r="V32" s="16">
        <f>_xll.BDH("ALNY US Equity","PRETAX_INC","FQ4 2023","FQ4 2023","Currency=USD","Period=FQ","BEST_FPERIOD_OVERRIDE=FQ","FILING_STATUS=MR","SCALING_FORMAT=MLN","FA_ADJUSTED=GAAP","Sort=A","Dates=H","DateFormat=P","Fill=—","Direction=H","UseDPDF=Y")</f>
        <v>-137.68700000000001</v>
      </c>
      <c r="W32" s="16">
        <f>_xll.BDH("ALNY US Equity","PRETAX_INC","FQ1 2024","FQ1 2024","Currency=USD","Period=FQ","BEST_FPERIOD_OVERRIDE=FQ","FILING_STATUS=MR","SCALING_FORMAT=MLN","FA_ADJUSTED=GAAP","Sort=A","Dates=H","DateFormat=P","Fill=—","Direction=H","UseDPDF=Y")</f>
        <v>-63.587000000000003</v>
      </c>
      <c r="X32" s="16">
        <f>_xll.BDH("ALNY US Equity","PRETAX_INC","FQ2 2024","FQ2 2024","Currency=USD","Period=FQ","BEST_FPERIOD_OVERRIDE=FQ","FILING_STATUS=MR","SCALING_FORMAT=MLN","FA_ADJUSTED=GAAP","Sort=A","Dates=H","DateFormat=P","Fill=—","Direction=H","UseDPDF=Y")</f>
        <v>-11.167</v>
      </c>
      <c r="Y32" s="16">
        <f>_xll.BDH("ALNY US Equity","PRETAX_INC","FQ3 2024","FQ3 2024","Currency=USD","Period=FQ","BEST_FPERIOD_OVERRIDE=FQ","FILING_STATUS=MR","SCALING_FORMAT=MLN","FA_ADJUSTED=GAAP","Sort=A","Dates=H","DateFormat=P","Fill=—","Direction=H","UseDPDF=Y")</f>
        <v>-108.663</v>
      </c>
      <c r="Z32" s="16">
        <f>_xll.BDH("ALNY US Equity","PRETAX_INC","FQ4 2024","FQ4 2024","Currency=USD","Period=FQ","BEST_FPERIOD_OVERRIDE=FQ","FILING_STATUS=MR","SCALING_FORMAT=MLN","FA_ADJUSTED=GAAP","Sort=A","Dates=H","DateFormat=P","Fill=—","Direction=H","UseDPDF=Y")</f>
        <v>-193.958</v>
      </c>
    </row>
    <row r="33" spans="1:26" x14ac:dyDescent="0.25">
      <c r="A33" s="10" t="s">
        <v>106</v>
      </c>
      <c r="B33" s="10" t="s">
        <v>107</v>
      </c>
      <c r="C33" s="13">
        <f>_xll.BDH("ALNY US Equity","IS_INC_TAX_EXP","FQ1 2019","FQ1 2019","Currency=USD","Period=FQ","BEST_FPERIOD_OVERRIDE=FQ","FILING_STATUS=MR","SCALING_FORMAT=MLN","FA_ADJUSTED=GAAP","Sort=A","Dates=H","DateFormat=P","Fill=—","Direction=H","UseDPDF=Y")</f>
        <v>0.69499999999999995</v>
      </c>
      <c r="D33" s="13">
        <f>_xll.BDH("ALNY US Equity","IS_INC_TAX_EXP","FQ2 2019","FQ2 2019","Currency=USD","Period=FQ","BEST_FPERIOD_OVERRIDE=FQ","FILING_STATUS=MR","SCALING_FORMAT=MLN","FA_ADJUSTED=GAAP","Sort=A","Dates=H","DateFormat=P","Fill=—","Direction=H","UseDPDF=Y")</f>
        <v>0.96</v>
      </c>
      <c r="E33" s="13">
        <f>_xll.BDH("ALNY US Equity","IS_INC_TAX_EXP","FQ3 2019","FQ3 2019","Currency=USD","Period=FQ","BEST_FPERIOD_OVERRIDE=FQ","FILING_STATUS=MR","SCALING_FORMAT=MLN","FA_ADJUSTED=GAAP","Sort=A","Dates=H","DateFormat=P","Fill=—","Direction=H","UseDPDF=Y")</f>
        <v>-0.39400000000000002</v>
      </c>
      <c r="F33" s="13">
        <f>_xll.BDH("ALNY US Equity","IS_INC_TAX_EXP","FQ4 2019","FQ4 2019","Currency=USD","Period=FQ","BEST_FPERIOD_OVERRIDE=FQ","FILING_STATUS=MR","SCALING_FORMAT=MLN","FA_ADJUSTED=GAAP","Sort=A","Dates=H","DateFormat=P","Fill=—","Direction=H","UseDPDF=Y")</f>
        <v>-0.39800000000000002</v>
      </c>
      <c r="G33" s="13">
        <f>_xll.BDH("ALNY US Equity","IS_INC_TAX_EXP","FQ1 2020","FQ1 2020","Currency=USD","Period=FQ","BEST_FPERIOD_OVERRIDE=FQ","FILING_STATUS=MR","SCALING_FORMAT=MLN","FA_ADJUSTED=GAAP","Sort=A","Dates=H","DateFormat=P","Fill=—","Direction=H","UseDPDF=Y")</f>
        <v>0.57499999999999996</v>
      </c>
      <c r="H33" s="13">
        <f>_xll.BDH("ALNY US Equity","IS_INC_TAX_EXP","FQ2 2020","FQ2 2020","Currency=USD","Period=FQ","BEST_FPERIOD_OVERRIDE=FQ","FILING_STATUS=MR","SCALING_FORMAT=MLN","FA_ADJUSTED=GAAP","Sort=A","Dates=H","DateFormat=P","Fill=—","Direction=H","UseDPDF=Y")</f>
        <v>1.3260000000000001</v>
      </c>
      <c r="I33" s="13">
        <f>_xll.BDH("ALNY US Equity","IS_INC_TAX_EXP","FQ3 2020","FQ3 2020","Currency=USD","Period=FQ","BEST_FPERIOD_OVERRIDE=FQ","FILING_STATUS=MR","SCALING_FORMAT=MLN","FA_ADJUSTED=GAAP","Sort=A","Dates=H","DateFormat=P","Fill=—","Direction=H","UseDPDF=Y")</f>
        <v>0.83899999999999997</v>
      </c>
      <c r="J33" s="13">
        <f>_xll.BDH("ALNY US Equity","IS_INC_TAX_EXP","FQ4 2020","FQ4 2020","Currency=USD","Period=FQ","BEST_FPERIOD_OVERRIDE=FQ","FILING_STATUS=MR","SCALING_FORMAT=MLN","FA_ADJUSTED=GAAP","Sort=A","Dates=H","DateFormat=P","Fill=—","Direction=H","UseDPDF=Y")</f>
        <v>-5.8999999999999997E-2</v>
      </c>
      <c r="K33" s="13">
        <f>_xll.BDH("ALNY US Equity","IS_INC_TAX_EXP","FQ1 2021","FQ1 2021","Currency=USD","Period=FQ","BEST_FPERIOD_OVERRIDE=FQ","FILING_STATUS=MR","SCALING_FORMAT=MLN","FA_ADJUSTED=GAAP","Sort=A","Dates=H","DateFormat=P","Fill=—","Direction=H","UseDPDF=Y")</f>
        <v>1.016</v>
      </c>
      <c r="L33" s="13">
        <f>_xll.BDH("ALNY US Equity","IS_INC_TAX_EXP","FQ2 2021","FQ2 2021","Currency=USD","Period=FQ","BEST_FPERIOD_OVERRIDE=FQ","FILING_STATUS=MR","SCALING_FORMAT=MLN","FA_ADJUSTED=GAAP","Sort=A","Dates=H","DateFormat=P","Fill=—","Direction=H","UseDPDF=Y")</f>
        <v>1.228</v>
      </c>
      <c r="M33" s="13">
        <f>_xll.BDH("ALNY US Equity","IS_INC_TAX_EXP","FQ3 2021","FQ3 2021","Currency=USD","Period=FQ","BEST_FPERIOD_OVERRIDE=FQ","FILING_STATUS=MR","SCALING_FORMAT=MLN","FA_ADJUSTED=GAAP","Sort=A","Dates=H","DateFormat=P","Fill=—","Direction=H","UseDPDF=Y")</f>
        <v>0.27800000000000002</v>
      </c>
      <c r="N33" s="13">
        <f>_xll.BDH("ALNY US Equity","IS_INC_TAX_EXP","FQ4 2021","FQ4 2021","Currency=USD","Period=FQ","BEST_FPERIOD_OVERRIDE=FQ","FILING_STATUS=MR","SCALING_FORMAT=MLN","FA_ADJUSTED=GAAP","Sort=A","Dates=H","DateFormat=P","Fill=—","Direction=H","UseDPDF=Y")</f>
        <v>-1.8420000000000001</v>
      </c>
      <c r="O33" s="13">
        <f>_xll.BDH("ALNY US Equity","IS_INC_TAX_EXP","FQ1 2022","FQ1 2022","Currency=USD","Period=FQ","BEST_FPERIOD_OVERRIDE=FQ","FILING_STATUS=MR","SCALING_FORMAT=MLN","FA_ADJUSTED=GAAP","Sort=A","Dates=H","DateFormat=P","Fill=—","Direction=H","UseDPDF=Y")</f>
        <v>0.98499999999999999</v>
      </c>
      <c r="P33" s="13">
        <f>_xll.BDH("ALNY US Equity","IS_INC_TAX_EXP","FQ2 2022","FQ2 2022","Currency=USD","Period=FQ","BEST_FPERIOD_OVERRIDE=FQ","FILING_STATUS=MR","SCALING_FORMAT=MLN","FA_ADJUSTED=GAAP","Sort=A","Dates=H","DateFormat=P","Fill=—","Direction=H","UseDPDF=Y")</f>
        <v>2.7290000000000001</v>
      </c>
      <c r="Q33" s="13">
        <f>_xll.BDH("ALNY US Equity","IS_INC_TAX_EXP","FQ3 2022","FQ3 2022","Currency=USD","Period=FQ","BEST_FPERIOD_OVERRIDE=FQ","FILING_STATUS=MR","SCALING_FORMAT=MLN","FA_ADJUSTED=GAAP","Sort=A","Dates=H","DateFormat=P","Fill=—","Direction=H","UseDPDF=Y")</f>
        <v>-2.3E-2</v>
      </c>
      <c r="R33" s="13">
        <f>_xll.BDH("ALNY US Equity","IS_INC_TAX_EXP","FQ4 2022","FQ4 2022","Currency=USD","Period=FQ","BEST_FPERIOD_OVERRIDE=FQ","FILING_STATUS=MR","SCALING_FORMAT=MLN","FA_ADJUSTED=GAAP","Sort=A","Dates=H","DateFormat=P","Fill=—","Direction=H","UseDPDF=Y")</f>
        <v>0.47199999999999998</v>
      </c>
      <c r="S33" s="13">
        <f>_xll.BDH("ALNY US Equity","IS_INC_TAX_EXP","FQ1 2023","FQ1 2023","Currency=USD","Period=FQ","BEST_FPERIOD_OVERRIDE=FQ","FILING_STATUS=MR","SCALING_FORMAT=MLN","FA_ADJUSTED=GAAP","Sort=A","Dates=H","DateFormat=P","Fill=—","Direction=H","UseDPDF=Y")</f>
        <v>1.7390000000000001</v>
      </c>
      <c r="T33" s="13">
        <f>_xll.BDH("ALNY US Equity","IS_INC_TAX_EXP","FQ2 2023","FQ2 2023","Currency=USD","Period=FQ","BEST_FPERIOD_OVERRIDE=FQ","FILING_STATUS=MR","SCALING_FORMAT=MLN","FA_ADJUSTED=GAAP","Sort=A","Dates=H","DateFormat=P","Fill=—","Direction=H","UseDPDF=Y")</f>
        <v>1.8149999999999999</v>
      </c>
      <c r="U33" s="13">
        <f>_xll.BDH("ALNY US Equity","IS_INC_TAX_EXP","FQ3 2023","FQ3 2023","Currency=USD","Period=FQ","BEST_FPERIOD_OVERRIDE=FQ","FILING_STATUS=MR","SCALING_FORMAT=MLN","FA_ADJUSTED=GAAP","Sort=A","Dates=H","DateFormat=P","Fill=—","Direction=H","UseDPDF=Y")</f>
        <v>2.988</v>
      </c>
      <c r="V33" s="13">
        <f>_xll.BDH("ALNY US Equity","IS_INC_TAX_EXP","FQ4 2023","FQ4 2023","Currency=USD","Period=FQ","BEST_FPERIOD_OVERRIDE=FQ","FILING_STATUS=MR","SCALING_FORMAT=MLN","FA_ADJUSTED=GAAP","Sort=A","Dates=H","DateFormat=P","Fill=—","Direction=H","UseDPDF=Y")</f>
        <v>0.183</v>
      </c>
      <c r="W33" s="13">
        <f>_xll.BDH("ALNY US Equity","IS_INC_TAX_EXP","FQ1 2024","FQ1 2024","Currency=USD","Period=FQ","BEST_FPERIOD_OVERRIDE=FQ","FILING_STATUS=MR","SCALING_FORMAT=MLN","FA_ADJUSTED=GAAP","Sort=A","Dates=H","DateFormat=P","Fill=—","Direction=H","UseDPDF=Y")</f>
        <v>2.3479999999999999</v>
      </c>
      <c r="X33" s="13">
        <f>_xll.BDH("ALNY US Equity","IS_INC_TAX_EXP","FQ2 2024","FQ2 2024","Currency=USD","Period=FQ","BEST_FPERIOD_OVERRIDE=FQ","FILING_STATUS=MR","SCALING_FORMAT=MLN","FA_ADJUSTED=GAAP","Sort=A","Dates=H","DateFormat=P","Fill=—","Direction=H","UseDPDF=Y")</f>
        <v>5.7220000000000004</v>
      </c>
      <c r="Y33" s="13">
        <f>_xll.BDH("ALNY US Equity","IS_INC_TAX_EXP","FQ3 2024","FQ3 2024","Currency=USD","Period=FQ","BEST_FPERIOD_OVERRIDE=FQ","FILING_STATUS=MR","SCALING_FORMAT=MLN","FA_ADJUSTED=GAAP","Sort=A","Dates=H","DateFormat=P","Fill=—","Direction=H","UseDPDF=Y")</f>
        <v>2.907</v>
      </c>
      <c r="Z33" s="13">
        <f>_xll.BDH("ALNY US Equity","IS_INC_TAX_EXP","FQ4 2024","FQ4 2024","Currency=USD","Period=FQ","BEST_FPERIOD_OVERRIDE=FQ","FILING_STATUS=MR","SCALING_FORMAT=MLN","FA_ADJUSTED=GAAP","Sort=A","Dates=H","DateFormat=P","Fill=—","Direction=H","UseDPDF=Y")</f>
        <v>-110.19499999999999</v>
      </c>
    </row>
    <row r="34" spans="1:26" x14ac:dyDescent="0.25">
      <c r="A34" s="6" t="s">
        <v>108</v>
      </c>
      <c r="B34" s="6" t="s">
        <v>109</v>
      </c>
      <c r="C34" s="16">
        <f>_xll.BDH("ALNY US Equity","IS_INC_BEF_XO_ITEM","FQ1 2019","FQ1 2019","Currency=USD","Period=FQ","BEST_FPERIOD_OVERRIDE=FQ","FILING_STATUS=MR","SCALING_FORMAT=MLN","Sort=A","Dates=H","DateFormat=P","Fill=—","Direction=H","UseDPDF=Y")</f>
        <v>-181.91499999999999</v>
      </c>
      <c r="D34" s="16">
        <f>_xll.BDH("ALNY US Equity","IS_INC_BEF_XO_ITEM","FQ2 2019","FQ2 2019","Currency=USD","Period=FQ","BEST_FPERIOD_OVERRIDE=FQ","FILING_STATUS=MR","SCALING_FORMAT=MLN","Sort=A","Dates=H","DateFormat=P","Fill=—","Direction=H","UseDPDF=Y")</f>
        <v>-219.48099999999999</v>
      </c>
      <c r="E34" s="16">
        <f>_xll.BDH("ALNY US Equity","IS_INC_BEF_XO_ITEM","FQ3 2019","FQ3 2019","Currency=USD","Period=FQ","BEST_FPERIOD_OVERRIDE=FQ","FILING_STATUS=MR","SCALING_FORMAT=MLN","Sort=A","Dates=H","DateFormat=P","Fill=—","Direction=H","UseDPDF=Y")</f>
        <v>-208.535</v>
      </c>
      <c r="F34" s="16">
        <f>_xll.BDH("ALNY US Equity","IS_INC_BEF_XO_ITEM","FQ4 2019","FQ4 2019","Currency=USD","Period=FQ","BEST_FPERIOD_OVERRIDE=FQ","FILING_STATUS=MR","SCALING_FORMAT=MLN","Sort=A","Dates=H","DateFormat=P","Fill=—","Direction=H","UseDPDF=Y")</f>
        <v>-276.185</v>
      </c>
      <c r="G34" s="16">
        <f>_xll.BDH("ALNY US Equity","IS_INC_BEF_XO_ITEM","FQ1 2020","FQ1 2020","Currency=USD","Period=FQ","BEST_FPERIOD_OVERRIDE=FQ","FILING_STATUS=MR","SCALING_FORMAT=MLN","Sort=A","Dates=H","DateFormat=P","Fill=—","Direction=H","UseDPDF=Y")</f>
        <v>-182.221</v>
      </c>
      <c r="H34" s="16">
        <f>_xll.BDH("ALNY US Equity","IS_INC_BEF_XO_ITEM","FQ2 2020","FQ2 2020","Currency=USD","Period=FQ","BEST_FPERIOD_OVERRIDE=FQ","FILING_STATUS=MR","SCALING_FORMAT=MLN","Sort=A","Dates=H","DateFormat=P","Fill=—","Direction=H","UseDPDF=Y")</f>
        <v>-179.22900000000001</v>
      </c>
      <c r="I34" s="16">
        <f>_xll.BDH("ALNY US Equity","IS_INC_BEF_XO_ITEM","FQ3 2020","FQ3 2020","Currency=USD","Period=FQ","BEST_FPERIOD_OVERRIDE=FQ","FILING_STATUS=MR","SCALING_FORMAT=MLN","Sort=A","Dates=H","DateFormat=P","Fill=—","Direction=H","UseDPDF=Y")</f>
        <v>-253.291</v>
      </c>
      <c r="J34" s="16">
        <f>_xll.BDH("ALNY US Equity","IS_INC_BEF_XO_ITEM","FQ4 2020","FQ4 2020","Currency=USD","Period=FQ","BEST_FPERIOD_OVERRIDE=FQ","FILING_STATUS=MR","SCALING_FORMAT=MLN","Sort=A","Dates=H","DateFormat=P","Fill=—","Direction=H","UseDPDF=Y")</f>
        <v>-243.54</v>
      </c>
      <c r="K34" s="16">
        <f>_xll.BDH("ALNY US Equity","IS_INC_BEF_XO_ITEM","FQ1 2021","FQ1 2021","Currency=USD","Period=FQ","BEST_FPERIOD_OVERRIDE=FQ","FILING_STATUS=MR","SCALING_FORMAT=MLN","Sort=A","Dates=H","DateFormat=P","Fill=—","Direction=H","UseDPDF=Y")</f>
        <v>-200.291</v>
      </c>
      <c r="L34" s="16">
        <f>_xll.BDH("ALNY US Equity","IS_INC_BEF_XO_ITEM","FQ2 2021","FQ2 2021","Currency=USD","Period=FQ","BEST_FPERIOD_OVERRIDE=FQ","FILING_STATUS=MR","SCALING_FORMAT=MLN","Sort=A","Dates=H","DateFormat=P","Fill=—","Direction=H","UseDPDF=Y")</f>
        <v>-189.559</v>
      </c>
      <c r="M34" s="16">
        <f>_xll.BDH("ALNY US Equity","IS_INC_BEF_XO_ITEM","FQ3 2021","FQ3 2021","Currency=USD","Period=FQ","BEST_FPERIOD_OVERRIDE=FQ","FILING_STATUS=MR","SCALING_FORMAT=MLN","Sort=A","Dates=H","DateFormat=P","Fill=—","Direction=H","UseDPDF=Y")</f>
        <v>-204.51400000000001</v>
      </c>
      <c r="N34" s="16">
        <f>_xll.BDH("ALNY US Equity","IS_INC_BEF_XO_ITEM","FQ4 2021","FQ4 2021","Currency=USD","Period=FQ","BEST_FPERIOD_OVERRIDE=FQ","FILING_STATUS=MR","SCALING_FORMAT=MLN","Sort=A","Dates=H","DateFormat=P","Fill=—","Direction=H","UseDPDF=Y")</f>
        <v>-258.45999999999998</v>
      </c>
      <c r="O34" s="16">
        <f>_xll.BDH("ALNY US Equity","IS_INC_BEF_XO_ITEM","FQ1 2022","FQ1 2022","Currency=USD","Period=FQ","BEST_FPERIOD_OVERRIDE=FQ","FILING_STATUS=MR","SCALING_FORMAT=MLN","Sort=A","Dates=H","DateFormat=P","Fill=—","Direction=H","UseDPDF=Y")</f>
        <v>-240.34100000000001</v>
      </c>
      <c r="P34" s="16">
        <f>_xll.BDH("ALNY US Equity","IS_INC_BEF_XO_ITEM","FQ2 2022","FQ2 2022","Currency=USD","Period=FQ","BEST_FPERIOD_OVERRIDE=FQ","FILING_STATUS=MR","SCALING_FORMAT=MLN","Sort=A","Dates=H","DateFormat=P","Fill=—","Direction=H","UseDPDF=Y")</f>
        <v>-277.40199999999999</v>
      </c>
      <c r="Q34" s="16">
        <f>_xll.BDH("ALNY US Equity","IS_INC_BEF_XO_ITEM","FQ3 2022","FQ3 2022","Currency=USD","Period=FQ","BEST_FPERIOD_OVERRIDE=FQ","FILING_STATUS=MR","SCALING_FORMAT=MLN","Sort=A","Dates=H","DateFormat=P","Fill=—","Direction=H","UseDPDF=Y")</f>
        <v>-405.92</v>
      </c>
      <c r="R34" s="16">
        <f>_xll.BDH("ALNY US Equity","IS_INC_BEF_XO_ITEM","FQ4 2022","FQ4 2022","Currency=USD","Period=FQ","BEST_FPERIOD_OVERRIDE=FQ","FILING_STATUS=MR","SCALING_FORMAT=MLN","Sort=A","Dates=H","DateFormat=P","Fill=—","Direction=H","UseDPDF=Y")</f>
        <v>-207.49299999999999</v>
      </c>
      <c r="S34" s="16">
        <f>_xll.BDH("ALNY US Equity","IS_INC_BEF_XO_ITEM","FQ1 2023","FQ1 2023","Currency=USD","Period=FQ","BEST_FPERIOD_OVERRIDE=FQ","FILING_STATUS=MR","SCALING_FORMAT=MLN","Sort=A","Dates=H","DateFormat=P","Fill=—","Direction=H","UseDPDF=Y")</f>
        <v>-174.101</v>
      </c>
      <c r="T34" s="16">
        <f>_xll.BDH("ALNY US Equity","IS_INC_BEF_XO_ITEM","FQ2 2023","FQ2 2023","Currency=USD","Period=FQ","BEST_FPERIOD_OVERRIDE=FQ","FILING_STATUS=MR","SCALING_FORMAT=MLN","Sort=A","Dates=H","DateFormat=P","Fill=—","Direction=H","UseDPDF=Y")</f>
        <v>-276.024</v>
      </c>
      <c r="U34" s="16">
        <f>_xll.BDH("ALNY US Equity","IS_INC_BEF_XO_ITEM","FQ3 2023","FQ3 2023","Currency=USD","Period=FQ","BEST_FPERIOD_OVERRIDE=FQ","FILING_STATUS=MR","SCALING_FORMAT=MLN","Sort=A","Dates=H","DateFormat=P","Fill=—","Direction=H","UseDPDF=Y")</f>
        <v>147.75299999999999</v>
      </c>
      <c r="V34" s="16">
        <f>_xll.BDH("ALNY US Equity","IS_INC_BEF_XO_ITEM","FQ4 2023","FQ4 2023","Currency=USD","Period=FQ","BEST_FPERIOD_OVERRIDE=FQ","FILING_STATUS=MR","SCALING_FORMAT=MLN","Sort=A","Dates=H","DateFormat=P","Fill=—","Direction=H","UseDPDF=Y")</f>
        <v>-137.87</v>
      </c>
      <c r="W34" s="16">
        <f>_xll.BDH("ALNY US Equity","IS_INC_BEF_XO_ITEM","FQ1 2024","FQ1 2024","Currency=USD","Period=FQ","BEST_FPERIOD_OVERRIDE=FQ","FILING_STATUS=MR","SCALING_FORMAT=MLN","Sort=A","Dates=H","DateFormat=P","Fill=—","Direction=H","UseDPDF=Y")</f>
        <v>-65.935000000000002</v>
      </c>
      <c r="X34" s="16">
        <f>_xll.BDH("ALNY US Equity","IS_INC_BEF_XO_ITEM","FQ2 2024","FQ2 2024","Currency=USD","Period=FQ","BEST_FPERIOD_OVERRIDE=FQ","FILING_STATUS=MR","SCALING_FORMAT=MLN","Sort=A","Dates=H","DateFormat=P","Fill=—","Direction=H","UseDPDF=Y")</f>
        <v>-16.888999999999999</v>
      </c>
      <c r="Y34" s="16">
        <f>_xll.BDH("ALNY US Equity","IS_INC_BEF_XO_ITEM","FQ3 2024","FQ3 2024","Currency=USD","Period=FQ","BEST_FPERIOD_OVERRIDE=FQ","FILING_STATUS=MR","SCALING_FORMAT=MLN","Sort=A","Dates=H","DateFormat=P","Fill=—","Direction=H","UseDPDF=Y")</f>
        <v>-111.57</v>
      </c>
      <c r="Z34" s="16">
        <f>_xll.BDH("ALNY US Equity","IS_INC_BEF_XO_ITEM","FQ4 2024","FQ4 2024","Currency=USD","Period=FQ","BEST_FPERIOD_OVERRIDE=FQ","FILING_STATUS=MR","SCALING_FORMAT=MLN","Sort=A","Dates=H","DateFormat=P","Fill=—","Direction=H","UseDPDF=Y")</f>
        <v>-83.763000000000005</v>
      </c>
    </row>
    <row r="35" spans="1:26" x14ac:dyDescent="0.25">
      <c r="A35" s="10" t="s">
        <v>110</v>
      </c>
      <c r="B35" s="10" t="s">
        <v>111</v>
      </c>
      <c r="C35" s="13">
        <f>_xll.BDH("ALNY US Equity","XO_GL_NET_OF_TAX","FQ1 2019","FQ1 2019","Currency=USD","Period=FQ","BEST_FPERIOD_OVERRIDE=FQ","FILING_STATUS=MR","SCALING_FORMAT=MLN","Sort=A","Dates=H","DateFormat=P","Fill=—","Direction=H","UseDPDF=Y")</f>
        <v>0</v>
      </c>
      <c r="D35" s="13">
        <f>_xll.BDH("ALNY US Equity","XO_GL_NET_OF_TAX","FQ2 2019","FQ2 2019","Currency=USD","Period=FQ","BEST_FPERIOD_OVERRIDE=FQ","FILING_STATUS=MR","SCALING_FORMAT=MLN","Sort=A","Dates=H","DateFormat=P","Fill=—","Direction=H","UseDPDF=Y")</f>
        <v>0</v>
      </c>
      <c r="E35" s="13">
        <f>_xll.BDH("ALNY US Equity","XO_GL_NET_OF_TAX","FQ3 2019","FQ3 2019","Currency=USD","Period=FQ","BEST_FPERIOD_OVERRIDE=FQ","FILING_STATUS=MR","SCALING_FORMAT=MLN","Sort=A","Dates=H","DateFormat=P","Fill=—","Direction=H","UseDPDF=Y")</f>
        <v>0</v>
      </c>
      <c r="F35" s="13">
        <f>_xll.BDH("ALNY US Equity","XO_GL_NET_OF_TAX","FQ4 2019","FQ4 2019","Currency=USD","Period=FQ","BEST_FPERIOD_OVERRIDE=FQ","FILING_STATUS=MR","SCALING_FORMAT=MLN","Sort=A","Dates=H","DateFormat=P","Fill=—","Direction=H","UseDPDF=Y")</f>
        <v>0</v>
      </c>
      <c r="G35" s="13">
        <f>_xll.BDH("ALNY US Equity","XO_GL_NET_OF_TAX","FQ1 2020","FQ1 2020","Currency=USD","Period=FQ","BEST_FPERIOD_OVERRIDE=FQ","FILING_STATUS=MR","SCALING_FORMAT=MLN","Sort=A","Dates=H","DateFormat=P","Fill=—","Direction=H","UseDPDF=Y")</f>
        <v>0</v>
      </c>
      <c r="H35" s="13">
        <f>_xll.BDH("ALNY US Equity","XO_GL_NET_OF_TAX","FQ2 2020","FQ2 2020","Currency=USD","Period=FQ","BEST_FPERIOD_OVERRIDE=FQ","FILING_STATUS=MR","SCALING_FORMAT=MLN","Sort=A","Dates=H","DateFormat=P","Fill=—","Direction=H","UseDPDF=Y")</f>
        <v>0</v>
      </c>
      <c r="I35" s="13">
        <f>_xll.BDH("ALNY US Equity","XO_GL_NET_OF_TAX","FQ3 2020","FQ3 2020","Currency=USD","Period=FQ","BEST_FPERIOD_OVERRIDE=FQ","FILING_STATUS=MR","SCALING_FORMAT=MLN","Sort=A","Dates=H","DateFormat=P","Fill=—","Direction=H","UseDPDF=Y")</f>
        <v>0</v>
      </c>
      <c r="J35" s="13">
        <f>_xll.BDH("ALNY US Equity","XO_GL_NET_OF_TAX","FQ4 2020","FQ4 2020","Currency=USD","Period=FQ","BEST_FPERIOD_OVERRIDE=FQ","FILING_STATUS=MR","SCALING_FORMAT=MLN","Sort=A","Dates=H","DateFormat=P","Fill=—","Direction=H","UseDPDF=Y")</f>
        <v>0</v>
      </c>
      <c r="K35" s="13">
        <f>_xll.BDH("ALNY US Equity","XO_GL_NET_OF_TAX","FQ1 2021","FQ1 2021","Currency=USD","Period=FQ","BEST_FPERIOD_OVERRIDE=FQ","FILING_STATUS=MR","SCALING_FORMAT=MLN","Sort=A","Dates=H","DateFormat=P","Fill=—","Direction=H","UseDPDF=Y")</f>
        <v>0</v>
      </c>
      <c r="L35" s="13">
        <f>_xll.BDH("ALNY US Equity","XO_GL_NET_OF_TAX","FQ2 2021","FQ2 2021","Currency=USD","Period=FQ","BEST_FPERIOD_OVERRIDE=FQ","FILING_STATUS=MR","SCALING_FORMAT=MLN","Sort=A","Dates=H","DateFormat=P","Fill=—","Direction=H","UseDPDF=Y")</f>
        <v>0</v>
      </c>
      <c r="M35" s="13">
        <f>_xll.BDH("ALNY US Equity","XO_GL_NET_OF_TAX","FQ3 2021","FQ3 2021","Currency=USD","Period=FQ","BEST_FPERIOD_OVERRIDE=FQ","FILING_STATUS=MR","SCALING_FORMAT=MLN","Sort=A","Dates=H","DateFormat=P","Fill=—","Direction=H","UseDPDF=Y")</f>
        <v>0</v>
      </c>
      <c r="N35" s="13">
        <f>_xll.BDH("ALNY US Equity","XO_GL_NET_OF_TAX","FQ4 2021","FQ4 2021","Currency=USD","Period=FQ","BEST_FPERIOD_OVERRIDE=FQ","FILING_STATUS=MR","SCALING_FORMAT=MLN","Sort=A","Dates=H","DateFormat=P","Fill=—","Direction=H","UseDPDF=Y")</f>
        <v>0</v>
      </c>
      <c r="O35" s="13">
        <f>_xll.BDH("ALNY US Equity","XO_GL_NET_OF_TAX","FQ1 2022","FQ1 2022","Currency=USD","Period=FQ","BEST_FPERIOD_OVERRIDE=FQ","FILING_STATUS=MR","SCALING_FORMAT=MLN","Sort=A","Dates=H","DateFormat=P","Fill=—","Direction=H","UseDPDF=Y")</f>
        <v>0</v>
      </c>
      <c r="P35" s="13">
        <f>_xll.BDH("ALNY US Equity","XO_GL_NET_OF_TAX","FQ2 2022","FQ2 2022","Currency=USD","Period=FQ","BEST_FPERIOD_OVERRIDE=FQ","FILING_STATUS=MR","SCALING_FORMAT=MLN","Sort=A","Dates=H","DateFormat=P","Fill=—","Direction=H","UseDPDF=Y")</f>
        <v>0</v>
      </c>
      <c r="Q35" s="13">
        <f>_xll.BDH("ALNY US Equity","XO_GL_NET_OF_TAX","FQ3 2022","FQ3 2022","Currency=USD","Period=FQ","BEST_FPERIOD_OVERRIDE=FQ","FILING_STATUS=MR","SCALING_FORMAT=MLN","Sort=A","Dates=H","DateFormat=P","Fill=—","Direction=H","UseDPDF=Y")</f>
        <v>0</v>
      </c>
      <c r="R35" s="13">
        <f>_xll.BDH("ALNY US Equity","XO_GL_NET_OF_TAX","FQ4 2022","FQ4 2022","Currency=USD","Period=FQ","BEST_FPERIOD_OVERRIDE=FQ","FILING_STATUS=MR","SCALING_FORMAT=MLN","Sort=A","Dates=H","DateFormat=P","Fill=—","Direction=H","UseDPDF=Y")</f>
        <v>0</v>
      </c>
      <c r="S35" s="13">
        <f>_xll.BDH("ALNY US Equity","XO_GL_NET_OF_TAX","FQ1 2023","FQ1 2023","Currency=USD","Period=FQ","BEST_FPERIOD_OVERRIDE=FQ","FILING_STATUS=MR","SCALING_FORMAT=MLN","Sort=A","Dates=H","DateFormat=P","Fill=—","Direction=H","UseDPDF=Y")</f>
        <v>0</v>
      </c>
      <c r="T35" s="13">
        <f>_xll.BDH("ALNY US Equity","XO_GL_NET_OF_TAX","FQ2 2023","FQ2 2023","Currency=USD","Period=FQ","BEST_FPERIOD_OVERRIDE=FQ","FILING_STATUS=MR","SCALING_FORMAT=MLN","Sort=A","Dates=H","DateFormat=P","Fill=—","Direction=H","UseDPDF=Y")</f>
        <v>0</v>
      </c>
      <c r="U35" s="13">
        <f>_xll.BDH("ALNY US Equity","XO_GL_NET_OF_TAX","FQ3 2023","FQ3 2023","Currency=USD","Period=FQ","BEST_FPERIOD_OVERRIDE=FQ","FILING_STATUS=MR","SCALING_FORMAT=MLN","Sort=A","Dates=H","DateFormat=P","Fill=—","Direction=H","UseDPDF=Y")</f>
        <v>0</v>
      </c>
      <c r="V35" s="13">
        <f>_xll.BDH("ALNY US Equity","XO_GL_NET_OF_TAX","FQ4 2023","FQ4 2023","Currency=USD","Period=FQ","BEST_FPERIOD_OVERRIDE=FQ","FILING_STATUS=MR","SCALING_FORMAT=MLN","Sort=A","Dates=H","DateFormat=P","Fill=—","Direction=H","UseDPDF=Y")</f>
        <v>0</v>
      </c>
      <c r="W35" s="13">
        <f>_xll.BDH("ALNY US Equity","XO_GL_NET_OF_TAX","FQ1 2024","FQ1 2024","Currency=USD","Period=FQ","BEST_FPERIOD_OVERRIDE=FQ","FILING_STATUS=MR","SCALING_FORMAT=MLN","Sort=A","Dates=H","DateFormat=P","Fill=—","Direction=H","UseDPDF=Y")</f>
        <v>0</v>
      </c>
      <c r="X35" s="13">
        <f>_xll.BDH("ALNY US Equity","XO_GL_NET_OF_TAX","FQ2 2024","FQ2 2024","Currency=USD","Period=FQ","BEST_FPERIOD_OVERRIDE=FQ","FILING_STATUS=MR","SCALING_FORMAT=MLN","Sort=A","Dates=H","DateFormat=P","Fill=—","Direction=H","UseDPDF=Y")</f>
        <v>0</v>
      </c>
      <c r="Y35" s="13">
        <f>_xll.BDH("ALNY US Equity","XO_GL_NET_OF_TAX","FQ3 2024","FQ3 2024","Currency=USD","Period=FQ","BEST_FPERIOD_OVERRIDE=FQ","FILING_STATUS=MR","SCALING_FORMAT=MLN","Sort=A","Dates=H","DateFormat=P","Fill=—","Direction=H","UseDPDF=Y")</f>
        <v>0</v>
      </c>
      <c r="Z35" s="13">
        <f>_xll.BDH("ALNY US Equity","XO_GL_NET_OF_TAX","FQ4 2024","FQ4 2024","Currency=USD","Period=FQ","BEST_FPERIOD_OVERRIDE=FQ","FILING_STATUS=MR","SCALING_FORMAT=MLN","Sort=A","Dates=H","DateFormat=P","Fill=—","Direction=H","UseDPDF=Y")</f>
        <v>0</v>
      </c>
    </row>
    <row r="36" spans="1:26" x14ac:dyDescent="0.25">
      <c r="A36" s="10" t="s">
        <v>112</v>
      </c>
      <c r="B36" s="10" t="s">
        <v>113</v>
      </c>
      <c r="C36" s="13">
        <f>_xll.BDH("ALNY US Equity","IS_DISCONTINUED_OPERATIONS","FQ1 2019","FQ1 2019","Currency=USD","Period=FQ","BEST_FPERIOD_OVERRIDE=FQ","FILING_STATUS=MR","SCALING_FORMAT=MLN","Sort=A","Dates=H","DateFormat=P","Fill=—","Direction=H","UseDPDF=Y")</f>
        <v>0</v>
      </c>
      <c r="D36" s="13">
        <f>_xll.BDH("ALNY US Equity","IS_DISCONTINUED_OPERATIONS","FQ2 2019","FQ2 2019","Currency=USD","Period=FQ","BEST_FPERIOD_OVERRIDE=FQ","FILING_STATUS=MR","SCALING_FORMAT=MLN","Sort=A","Dates=H","DateFormat=P","Fill=—","Direction=H","UseDPDF=Y")</f>
        <v>0</v>
      </c>
      <c r="E36" s="13">
        <f>_xll.BDH("ALNY US Equity","IS_DISCONTINUED_OPERATIONS","FQ3 2019","FQ3 2019","Currency=USD","Period=FQ","BEST_FPERIOD_OVERRIDE=FQ","FILING_STATUS=MR","SCALING_FORMAT=MLN","Sort=A","Dates=H","DateFormat=P","Fill=—","Direction=H","UseDPDF=Y")</f>
        <v>0</v>
      </c>
      <c r="F36" s="13">
        <f>_xll.BDH("ALNY US Equity","IS_DISCONTINUED_OPERATIONS","FQ4 2019","FQ4 2019","Currency=USD","Period=FQ","BEST_FPERIOD_OVERRIDE=FQ","FILING_STATUS=MR","SCALING_FORMAT=MLN","Sort=A","Dates=H","DateFormat=P","Fill=—","Direction=H","UseDPDF=Y")</f>
        <v>0</v>
      </c>
      <c r="G36" s="13">
        <f>_xll.BDH("ALNY US Equity","IS_DISCONTINUED_OPERATIONS","FQ1 2020","FQ1 2020","Currency=USD","Period=FQ","BEST_FPERIOD_OVERRIDE=FQ","FILING_STATUS=MR","SCALING_FORMAT=MLN","Sort=A","Dates=H","DateFormat=P","Fill=—","Direction=H","UseDPDF=Y")</f>
        <v>0</v>
      </c>
      <c r="H36" s="13">
        <f>_xll.BDH("ALNY US Equity","IS_DISCONTINUED_OPERATIONS","FQ2 2020","FQ2 2020","Currency=USD","Period=FQ","BEST_FPERIOD_OVERRIDE=FQ","FILING_STATUS=MR","SCALING_FORMAT=MLN","Sort=A","Dates=H","DateFormat=P","Fill=—","Direction=H","UseDPDF=Y")</f>
        <v>0</v>
      </c>
      <c r="I36" s="13">
        <f>_xll.BDH("ALNY US Equity","IS_DISCONTINUED_OPERATIONS","FQ3 2020","FQ3 2020","Currency=USD","Period=FQ","BEST_FPERIOD_OVERRIDE=FQ","FILING_STATUS=MR","SCALING_FORMAT=MLN","Sort=A","Dates=H","DateFormat=P","Fill=—","Direction=H","UseDPDF=Y")</f>
        <v>0</v>
      </c>
      <c r="J36" s="13">
        <f>_xll.BDH("ALNY US Equity","IS_DISCONTINUED_OPERATIONS","FQ4 2020","FQ4 2020","Currency=USD","Period=FQ","BEST_FPERIOD_OVERRIDE=FQ","FILING_STATUS=MR","SCALING_FORMAT=MLN","Sort=A","Dates=H","DateFormat=P","Fill=—","Direction=H","UseDPDF=Y")</f>
        <v>0</v>
      </c>
      <c r="K36" s="13">
        <f>_xll.BDH("ALNY US Equity","IS_DISCONTINUED_OPERATIONS","FQ1 2021","FQ1 2021","Currency=USD","Period=FQ","BEST_FPERIOD_OVERRIDE=FQ","FILING_STATUS=MR","SCALING_FORMAT=MLN","Sort=A","Dates=H","DateFormat=P","Fill=—","Direction=H","UseDPDF=Y")</f>
        <v>0</v>
      </c>
      <c r="L36" s="13">
        <f>_xll.BDH("ALNY US Equity","IS_DISCONTINUED_OPERATIONS","FQ2 2021","FQ2 2021","Currency=USD","Period=FQ","BEST_FPERIOD_OVERRIDE=FQ","FILING_STATUS=MR","SCALING_FORMAT=MLN","Sort=A","Dates=H","DateFormat=P","Fill=—","Direction=H","UseDPDF=Y")</f>
        <v>0</v>
      </c>
      <c r="M36" s="13">
        <f>_xll.BDH("ALNY US Equity","IS_DISCONTINUED_OPERATIONS","FQ3 2021","FQ3 2021","Currency=USD","Period=FQ","BEST_FPERIOD_OVERRIDE=FQ","FILING_STATUS=MR","SCALING_FORMAT=MLN","Sort=A","Dates=H","DateFormat=P","Fill=—","Direction=H","UseDPDF=Y")</f>
        <v>0</v>
      </c>
      <c r="N36" s="13">
        <f>_xll.BDH("ALNY US Equity","IS_DISCONTINUED_OPERATIONS","FQ4 2021","FQ4 2021","Currency=USD","Period=FQ","BEST_FPERIOD_OVERRIDE=FQ","FILING_STATUS=MR","SCALING_FORMAT=MLN","Sort=A","Dates=H","DateFormat=P","Fill=—","Direction=H","UseDPDF=Y")</f>
        <v>0</v>
      </c>
      <c r="O36" s="13">
        <f>_xll.BDH("ALNY US Equity","IS_DISCONTINUED_OPERATIONS","FQ1 2022","FQ1 2022","Currency=USD","Period=FQ","BEST_FPERIOD_OVERRIDE=FQ","FILING_STATUS=MR","SCALING_FORMAT=MLN","Sort=A","Dates=H","DateFormat=P","Fill=—","Direction=H","UseDPDF=Y")</f>
        <v>0</v>
      </c>
      <c r="P36" s="13">
        <f>_xll.BDH("ALNY US Equity","IS_DISCONTINUED_OPERATIONS","FQ2 2022","FQ2 2022","Currency=USD","Period=FQ","BEST_FPERIOD_OVERRIDE=FQ","FILING_STATUS=MR","SCALING_FORMAT=MLN","Sort=A","Dates=H","DateFormat=P","Fill=—","Direction=H","UseDPDF=Y")</f>
        <v>0</v>
      </c>
      <c r="Q36" s="13">
        <f>_xll.BDH("ALNY US Equity","IS_DISCONTINUED_OPERATIONS","FQ3 2022","FQ3 2022","Currency=USD","Period=FQ","BEST_FPERIOD_OVERRIDE=FQ","FILING_STATUS=MR","SCALING_FORMAT=MLN","Sort=A","Dates=H","DateFormat=P","Fill=—","Direction=H","UseDPDF=Y")</f>
        <v>0</v>
      </c>
      <c r="R36" s="13">
        <f>_xll.BDH("ALNY US Equity","IS_DISCONTINUED_OPERATIONS","FQ4 2022","FQ4 2022","Currency=USD","Period=FQ","BEST_FPERIOD_OVERRIDE=FQ","FILING_STATUS=MR","SCALING_FORMAT=MLN","Sort=A","Dates=H","DateFormat=P","Fill=—","Direction=H","UseDPDF=Y")</f>
        <v>0</v>
      </c>
      <c r="S36" s="13">
        <f>_xll.BDH("ALNY US Equity","IS_DISCONTINUED_OPERATIONS","FQ1 2023","FQ1 2023","Currency=USD","Period=FQ","BEST_FPERIOD_OVERRIDE=FQ","FILING_STATUS=MR","SCALING_FORMAT=MLN","Sort=A","Dates=H","DateFormat=P","Fill=—","Direction=H","UseDPDF=Y")</f>
        <v>0</v>
      </c>
      <c r="T36" s="13">
        <f>_xll.BDH("ALNY US Equity","IS_DISCONTINUED_OPERATIONS","FQ2 2023","FQ2 2023","Currency=USD","Period=FQ","BEST_FPERIOD_OVERRIDE=FQ","FILING_STATUS=MR","SCALING_FORMAT=MLN","Sort=A","Dates=H","DateFormat=P","Fill=—","Direction=H","UseDPDF=Y")</f>
        <v>0</v>
      </c>
      <c r="U36" s="13">
        <f>_xll.BDH("ALNY US Equity","IS_DISCONTINUED_OPERATIONS","FQ3 2023","FQ3 2023","Currency=USD","Period=FQ","BEST_FPERIOD_OVERRIDE=FQ","FILING_STATUS=MR","SCALING_FORMAT=MLN","Sort=A","Dates=H","DateFormat=P","Fill=—","Direction=H","UseDPDF=Y")</f>
        <v>0</v>
      </c>
      <c r="V36" s="13">
        <f>_xll.BDH("ALNY US Equity","IS_DISCONTINUED_OPERATIONS","FQ4 2023","FQ4 2023","Currency=USD","Period=FQ","BEST_FPERIOD_OVERRIDE=FQ","FILING_STATUS=MR","SCALING_FORMAT=MLN","Sort=A","Dates=H","DateFormat=P","Fill=—","Direction=H","UseDPDF=Y")</f>
        <v>0</v>
      </c>
      <c r="W36" s="13">
        <f>_xll.BDH("ALNY US Equity","IS_DISCONTINUED_OPERATIONS","FQ1 2024","FQ1 2024","Currency=USD","Period=FQ","BEST_FPERIOD_OVERRIDE=FQ","FILING_STATUS=MR","SCALING_FORMAT=MLN","Sort=A","Dates=H","DateFormat=P","Fill=—","Direction=H","UseDPDF=Y")</f>
        <v>0</v>
      </c>
      <c r="X36" s="13">
        <f>_xll.BDH("ALNY US Equity","IS_DISCONTINUED_OPERATIONS","FQ2 2024","FQ2 2024","Currency=USD","Period=FQ","BEST_FPERIOD_OVERRIDE=FQ","FILING_STATUS=MR","SCALING_FORMAT=MLN","Sort=A","Dates=H","DateFormat=P","Fill=—","Direction=H","UseDPDF=Y")</f>
        <v>0</v>
      </c>
      <c r="Y36" s="13">
        <f>_xll.BDH("ALNY US Equity","IS_DISCONTINUED_OPERATIONS","FQ3 2024","FQ3 2024","Currency=USD","Period=FQ","BEST_FPERIOD_OVERRIDE=FQ","FILING_STATUS=MR","SCALING_FORMAT=MLN","Sort=A","Dates=H","DateFormat=P","Fill=—","Direction=H","UseDPDF=Y")</f>
        <v>0</v>
      </c>
      <c r="Z36" s="13">
        <f>_xll.BDH("ALNY US Equity","IS_DISCONTINUED_OPERATIONS","FQ4 2024","FQ4 2024","Currency=USD","Period=FQ","BEST_FPERIOD_OVERRIDE=FQ","FILING_STATUS=MR","SCALING_FORMAT=MLN","Sort=A","Dates=H","DateFormat=P","Fill=—","Direction=H","UseDPDF=Y")</f>
        <v>0</v>
      </c>
    </row>
    <row r="37" spans="1:26" x14ac:dyDescent="0.25">
      <c r="A37" s="10" t="s">
        <v>114</v>
      </c>
      <c r="B37" s="10" t="s">
        <v>115</v>
      </c>
      <c r="C37" s="13">
        <f>_xll.BDH("ALNY US Equity","EXTRAORD_ITEMS_ACCOUNTING_CHANGS","FQ1 2019","FQ1 2019","Currency=USD","Period=FQ","BEST_FPERIOD_OVERRIDE=FQ","FILING_STATUS=MR","SCALING_FORMAT=MLN","Sort=A","Dates=H","DateFormat=P","Fill=—","Direction=H","UseDPDF=Y")</f>
        <v>0</v>
      </c>
      <c r="D37" s="13">
        <f>_xll.BDH("ALNY US Equity","EXTRAORD_ITEMS_ACCOUNTING_CHANGS","FQ2 2019","FQ2 2019","Currency=USD","Period=FQ","BEST_FPERIOD_OVERRIDE=FQ","FILING_STATUS=MR","SCALING_FORMAT=MLN","Sort=A","Dates=H","DateFormat=P","Fill=—","Direction=H","UseDPDF=Y")</f>
        <v>0</v>
      </c>
      <c r="E37" s="13">
        <f>_xll.BDH("ALNY US Equity","EXTRAORD_ITEMS_ACCOUNTING_CHANGS","FQ3 2019","FQ3 2019","Currency=USD","Period=FQ","BEST_FPERIOD_OVERRIDE=FQ","FILING_STATUS=MR","SCALING_FORMAT=MLN","Sort=A","Dates=H","DateFormat=P","Fill=—","Direction=H","UseDPDF=Y")</f>
        <v>0</v>
      </c>
      <c r="F37" s="13">
        <f>_xll.BDH("ALNY US Equity","EXTRAORD_ITEMS_ACCOUNTING_CHANGS","FQ4 2019","FQ4 2019","Currency=USD","Period=FQ","BEST_FPERIOD_OVERRIDE=FQ","FILING_STATUS=MR","SCALING_FORMAT=MLN","Sort=A","Dates=H","DateFormat=P","Fill=—","Direction=H","UseDPDF=Y")</f>
        <v>0</v>
      </c>
      <c r="G37" s="13">
        <f>_xll.BDH("ALNY US Equity","EXTRAORD_ITEMS_ACCOUNTING_CHANGS","FQ1 2020","FQ1 2020","Currency=USD","Period=FQ","BEST_FPERIOD_OVERRIDE=FQ","FILING_STATUS=MR","SCALING_FORMAT=MLN","Sort=A","Dates=H","DateFormat=P","Fill=—","Direction=H","UseDPDF=Y")</f>
        <v>0</v>
      </c>
      <c r="H37" s="13">
        <f>_xll.BDH("ALNY US Equity","EXTRAORD_ITEMS_ACCOUNTING_CHANGS","FQ2 2020","FQ2 2020","Currency=USD","Period=FQ","BEST_FPERIOD_OVERRIDE=FQ","FILING_STATUS=MR","SCALING_FORMAT=MLN","Sort=A","Dates=H","DateFormat=P","Fill=—","Direction=H","UseDPDF=Y")</f>
        <v>0</v>
      </c>
      <c r="I37" s="13">
        <f>_xll.BDH("ALNY US Equity","EXTRAORD_ITEMS_ACCOUNTING_CHANGS","FQ3 2020","FQ3 2020","Currency=USD","Period=FQ","BEST_FPERIOD_OVERRIDE=FQ","FILING_STATUS=MR","SCALING_FORMAT=MLN","Sort=A","Dates=H","DateFormat=P","Fill=—","Direction=H","UseDPDF=Y")</f>
        <v>0</v>
      </c>
      <c r="J37" s="13">
        <f>_xll.BDH("ALNY US Equity","EXTRAORD_ITEMS_ACCOUNTING_CHANGS","FQ4 2020","FQ4 2020","Currency=USD","Period=FQ","BEST_FPERIOD_OVERRIDE=FQ","FILING_STATUS=MR","SCALING_FORMAT=MLN","Sort=A","Dates=H","DateFormat=P","Fill=—","Direction=H","UseDPDF=Y")</f>
        <v>0</v>
      </c>
      <c r="K37" s="13">
        <f>_xll.BDH("ALNY US Equity","EXTRAORD_ITEMS_ACCOUNTING_CHANGS","FQ1 2021","FQ1 2021","Currency=USD","Period=FQ","BEST_FPERIOD_OVERRIDE=FQ","FILING_STATUS=MR","SCALING_FORMAT=MLN","Sort=A","Dates=H","DateFormat=P","Fill=—","Direction=H","UseDPDF=Y")</f>
        <v>0</v>
      </c>
      <c r="L37" s="13">
        <f>_xll.BDH("ALNY US Equity","EXTRAORD_ITEMS_ACCOUNTING_CHANGS","FQ2 2021","FQ2 2021","Currency=USD","Period=FQ","BEST_FPERIOD_OVERRIDE=FQ","FILING_STATUS=MR","SCALING_FORMAT=MLN","Sort=A","Dates=H","DateFormat=P","Fill=—","Direction=H","UseDPDF=Y")</f>
        <v>0</v>
      </c>
      <c r="M37" s="13">
        <f>_xll.BDH("ALNY US Equity","EXTRAORD_ITEMS_ACCOUNTING_CHANGS","FQ3 2021","FQ3 2021","Currency=USD","Period=FQ","BEST_FPERIOD_OVERRIDE=FQ","FILING_STATUS=MR","SCALING_FORMAT=MLN","Sort=A","Dates=H","DateFormat=P","Fill=—","Direction=H","UseDPDF=Y")</f>
        <v>0</v>
      </c>
      <c r="N37" s="13">
        <f>_xll.BDH("ALNY US Equity","EXTRAORD_ITEMS_ACCOUNTING_CHANGS","FQ4 2021","FQ4 2021","Currency=USD","Period=FQ","BEST_FPERIOD_OVERRIDE=FQ","FILING_STATUS=MR","SCALING_FORMAT=MLN","Sort=A","Dates=H","DateFormat=P","Fill=—","Direction=H","UseDPDF=Y")</f>
        <v>0</v>
      </c>
      <c r="O37" s="13">
        <f>_xll.BDH("ALNY US Equity","EXTRAORD_ITEMS_ACCOUNTING_CHANGS","FQ1 2022","FQ1 2022","Currency=USD","Period=FQ","BEST_FPERIOD_OVERRIDE=FQ","FILING_STATUS=MR","SCALING_FORMAT=MLN","Sort=A","Dates=H","DateFormat=P","Fill=—","Direction=H","UseDPDF=Y")</f>
        <v>0</v>
      </c>
      <c r="P37" s="13">
        <f>_xll.BDH("ALNY US Equity","EXTRAORD_ITEMS_ACCOUNTING_CHANGS","FQ2 2022","FQ2 2022","Currency=USD","Period=FQ","BEST_FPERIOD_OVERRIDE=FQ","FILING_STATUS=MR","SCALING_FORMAT=MLN","Sort=A","Dates=H","DateFormat=P","Fill=—","Direction=H","UseDPDF=Y")</f>
        <v>0</v>
      </c>
      <c r="Q37" s="13">
        <f>_xll.BDH("ALNY US Equity","EXTRAORD_ITEMS_ACCOUNTING_CHANGS","FQ3 2022","FQ3 2022","Currency=USD","Period=FQ","BEST_FPERIOD_OVERRIDE=FQ","FILING_STATUS=MR","SCALING_FORMAT=MLN","Sort=A","Dates=H","DateFormat=P","Fill=—","Direction=H","UseDPDF=Y")</f>
        <v>0</v>
      </c>
      <c r="R37" s="13">
        <f>_xll.BDH("ALNY US Equity","EXTRAORD_ITEMS_ACCOUNTING_CHANGS","FQ4 2022","FQ4 2022","Currency=USD","Period=FQ","BEST_FPERIOD_OVERRIDE=FQ","FILING_STATUS=MR","SCALING_FORMAT=MLN","Sort=A","Dates=H","DateFormat=P","Fill=—","Direction=H","UseDPDF=Y")</f>
        <v>0</v>
      </c>
      <c r="S37" s="13">
        <f>_xll.BDH("ALNY US Equity","EXTRAORD_ITEMS_ACCOUNTING_CHANGS","FQ1 2023","FQ1 2023","Currency=USD","Period=FQ","BEST_FPERIOD_OVERRIDE=FQ","FILING_STATUS=MR","SCALING_FORMAT=MLN","Sort=A","Dates=H","DateFormat=P","Fill=—","Direction=H","UseDPDF=Y")</f>
        <v>0</v>
      </c>
      <c r="T37" s="13">
        <f>_xll.BDH("ALNY US Equity","EXTRAORD_ITEMS_ACCOUNTING_CHANGS","FQ2 2023","FQ2 2023","Currency=USD","Period=FQ","BEST_FPERIOD_OVERRIDE=FQ","FILING_STATUS=MR","SCALING_FORMAT=MLN","Sort=A","Dates=H","DateFormat=P","Fill=—","Direction=H","UseDPDF=Y")</f>
        <v>0</v>
      </c>
      <c r="U37" s="13">
        <f>_xll.BDH("ALNY US Equity","EXTRAORD_ITEMS_ACCOUNTING_CHANGS","FQ3 2023","FQ3 2023","Currency=USD","Period=FQ","BEST_FPERIOD_OVERRIDE=FQ","FILING_STATUS=MR","SCALING_FORMAT=MLN","Sort=A","Dates=H","DateFormat=P","Fill=—","Direction=H","UseDPDF=Y")</f>
        <v>0</v>
      </c>
      <c r="V37" s="13">
        <f>_xll.BDH("ALNY US Equity","EXTRAORD_ITEMS_ACCOUNTING_CHANGS","FQ4 2023","FQ4 2023","Currency=USD","Period=FQ","BEST_FPERIOD_OVERRIDE=FQ","FILING_STATUS=MR","SCALING_FORMAT=MLN","Sort=A","Dates=H","DateFormat=P","Fill=—","Direction=H","UseDPDF=Y")</f>
        <v>0</v>
      </c>
      <c r="W37" s="13">
        <f>_xll.BDH("ALNY US Equity","EXTRAORD_ITEMS_ACCOUNTING_CHANGS","FQ1 2024","FQ1 2024","Currency=USD","Period=FQ","BEST_FPERIOD_OVERRIDE=FQ","FILING_STATUS=MR","SCALING_FORMAT=MLN","Sort=A","Dates=H","DateFormat=P","Fill=—","Direction=H","UseDPDF=Y")</f>
        <v>0</v>
      </c>
      <c r="X37" s="13">
        <f>_xll.BDH("ALNY US Equity","EXTRAORD_ITEMS_ACCOUNTING_CHANGS","FQ2 2024","FQ2 2024","Currency=USD","Period=FQ","BEST_FPERIOD_OVERRIDE=FQ","FILING_STATUS=MR","SCALING_FORMAT=MLN","Sort=A","Dates=H","DateFormat=P","Fill=—","Direction=H","UseDPDF=Y")</f>
        <v>0</v>
      </c>
      <c r="Y37" s="13">
        <f>_xll.BDH("ALNY US Equity","EXTRAORD_ITEMS_ACCOUNTING_CHANGS","FQ3 2024","FQ3 2024","Currency=USD","Period=FQ","BEST_FPERIOD_OVERRIDE=FQ","FILING_STATUS=MR","SCALING_FORMAT=MLN","Sort=A","Dates=H","DateFormat=P","Fill=—","Direction=H","UseDPDF=Y")</f>
        <v>0</v>
      </c>
      <c r="Z37" s="13">
        <f>_xll.BDH("ALNY US Equity","EXTRAORD_ITEMS_ACCOUNTING_CHANGS","FQ4 2024","FQ4 2024","Currency=USD","Period=FQ","BEST_FPERIOD_OVERRIDE=FQ","FILING_STATUS=MR","SCALING_FORMAT=MLN","Sort=A","Dates=H","DateFormat=P","Fill=—","Direction=H","UseDPDF=Y")</f>
        <v>0</v>
      </c>
    </row>
    <row r="38" spans="1:26" x14ac:dyDescent="0.25">
      <c r="A38" s="6" t="s">
        <v>116</v>
      </c>
      <c r="B38" s="6" t="s">
        <v>117</v>
      </c>
      <c r="C38" s="16">
        <f>_xll.BDH("ALNY US Equity","NI_INCLUDING_MINORITY_INT_RATIO","FQ1 2019","FQ1 2019","Currency=USD","Period=FQ","BEST_FPERIOD_OVERRIDE=FQ","FILING_STATUS=MR","SCALING_FORMAT=MLN","FA_ADJUSTED=GAAP","Sort=A","Dates=H","DateFormat=P","Fill=—","Direction=H","UseDPDF=Y")</f>
        <v>-181.91499999999999</v>
      </c>
      <c r="D38" s="16">
        <f>_xll.BDH("ALNY US Equity","NI_INCLUDING_MINORITY_INT_RATIO","FQ2 2019","FQ2 2019","Currency=USD","Period=FQ","BEST_FPERIOD_OVERRIDE=FQ","FILING_STATUS=MR","SCALING_FORMAT=MLN","FA_ADJUSTED=GAAP","Sort=A","Dates=H","DateFormat=P","Fill=—","Direction=H","UseDPDF=Y")</f>
        <v>-219.48099999999999</v>
      </c>
      <c r="E38" s="16">
        <f>_xll.BDH("ALNY US Equity","NI_INCLUDING_MINORITY_INT_RATIO","FQ3 2019","FQ3 2019","Currency=USD","Period=FQ","BEST_FPERIOD_OVERRIDE=FQ","FILING_STATUS=MR","SCALING_FORMAT=MLN","FA_ADJUSTED=GAAP","Sort=A","Dates=H","DateFormat=P","Fill=—","Direction=H","UseDPDF=Y")</f>
        <v>-208.535</v>
      </c>
      <c r="F38" s="16">
        <f>_xll.BDH("ALNY US Equity","NI_INCLUDING_MINORITY_INT_RATIO","FQ4 2019","FQ4 2019","Currency=USD","Period=FQ","BEST_FPERIOD_OVERRIDE=FQ","FILING_STATUS=MR","SCALING_FORMAT=MLN","FA_ADJUSTED=GAAP","Sort=A","Dates=H","DateFormat=P","Fill=—","Direction=H","UseDPDF=Y")</f>
        <v>-276.185</v>
      </c>
      <c r="G38" s="16">
        <f>_xll.BDH("ALNY US Equity","NI_INCLUDING_MINORITY_INT_RATIO","FQ1 2020","FQ1 2020","Currency=USD","Period=FQ","BEST_FPERIOD_OVERRIDE=FQ","FILING_STATUS=MR","SCALING_FORMAT=MLN","FA_ADJUSTED=GAAP","Sort=A","Dates=H","DateFormat=P","Fill=—","Direction=H","UseDPDF=Y")</f>
        <v>-182.221</v>
      </c>
      <c r="H38" s="16">
        <f>_xll.BDH("ALNY US Equity","NI_INCLUDING_MINORITY_INT_RATIO","FQ2 2020","FQ2 2020","Currency=USD","Period=FQ","BEST_FPERIOD_OVERRIDE=FQ","FILING_STATUS=MR","SCALING_FORMAT=MLN","FA_ADJUSTED=GAAP","Sort=A","Dates=H","DateFormat=P","Fill=—","Direction=H","UseDPDF=Y")</f>
        <v>-179.22900000000001</v>
      </c>
      <c r="I38" s="16">
        <f>_xll.BDH("ALNY US Equity","NI_INCLUDING_MINORITY_INT_RATIO","FQ3 2020","FQ3 2020","Currency=USD","Period=FQ","BEST_FPERIOD_OVERRIDE=FQ","FILING_STATUS=MR","SCALING_FORMAT=MLN","FA_ADJUSTED=GAAP","Sort=A","Dates=H","DateFormat=P","Fill=—","Direction=H","UseDPDF=Y")</f>
        <v>-253.291</v>
      </c>
      <c r="J38" s="16">
        <f>_xll.BDH("ALNY US Equity","NI_INCLUDING_MINORITY_INT_RATIO","FQ4 2020","FQ4 2020","Currency=USD","Period=FQ","BEST_FPERIOD_OVERRIDE=FQ","FILING_STATUS=MR","SCALING_FORMAT=MLN","FA_ADJUSTED=GAAP","Sort=A","Dates=H","DateFormat=P","Fill=—","Direction=H","UseDPDF=Y")</f>
        <v>-243.54</v>
      </c>
      <c r="K38" s="16">
        <f>_xll.BDH("ALNY US Equity","NI_INCLUDING_MINORITY_INT_RATIO","FQ1 2021","FQ1 2021","Currency=USD","Period=FQ","BEST_FPERIOD_OVERRIDE=FQ","FILING_STATUS=MR","SCALING_FORMAT=MLN","FA_ADJUSTED=GAAP","Sort=A","Dates=H","DateFormat=P","Fill=—","Direction=H","UseDPDF=Y")</f>
        <v>-200.291</v>
      </c>
      <c r="L38" s="16">
        <f>_xll.BDH("ALNY US Equity","NI_INCLUDING_MINORITY_INT_RATIO","FQ2 2021","FQ2 2021","Currency=USD","Period=FQ","BEST_FPERIOD_OVERRIDE=FQ","FILING_STATUS=MR","SCALING_FORMAT=MLN","FA_ADJUSTED=GAAP","Sort=A","Dates=H","DateFormat=P","Fill=—","Direction=H","UseDPDF=Y")</f>
        <v>-189.559</v>
      </c>
      <c r="M38" s="16">
        <f>_xll.BDH("ALNY US Equity","NI_INCLUDING_MINORITY_INT_RATIO","FQ3 2021","FQ3 2021","Currency=USD","Period=FQ","BEST_FPERIOD_OVERRIDE=FQ","FILING_STATUS=MR","SCALING_FORMAT=MLN","FA_ADJUSTED=GAAP","Sort=A","Dates=H","DateFormat=P","Fill=—","Direction=H","UseDPDF=Y")</f>
        <v>-204.51400000000001</v>
      </c>
      <c r="N38" s="16">
        <f>_xll.BDH("ALNY US Equity","NI_INCLUDING_MINORITY_INT_RATIO","FQ4 2021","FQ4 2021","Currency=USD","Period=FQ","BEST_FPERIOD_OVERRIDE=FQ","FILING_STATUS=MR","SCALING_FORMAT=MLN","FA_ADJUSTED=GAAP","Sort=A","Dates=H","DateFormat=P","Fill=—","Direction=H","UseDPDF=Y")</f>
        <v>-258.45999999999998</v>
      </c>
      <c r="O38" s="16">
        <f>_xll.BDH("ALNY US Equity","NI_INCLUDING_MINORITY_INT_RATIO","FQ1 2022","FQ1 2022","Currency=USD","Period=FQ","BEST_FPERIOD_OVERRIDE=FQ","FILING_STATUS=MR","SCALING_FORMAT=MLN","FA_ADJUSTED=GAAP","Sort=A","Dates=H","DateFormat=P","Fill=—","Direction=H","UseDPDF=Y")</f>
        <v>-240.34100000000001</v>
      </c>
      <c r="P38" s="16">
        <f>_xll.BDH("ALNY US Equity","NI_INCLUDING_MINORITY_INT_RATIO","FQ2 2022","FQ2 2022","Currency=USD","Period=FQ","BEST_FPERIOD_OVERRIDE=FQ","FILING_STATUS=MR","SCALING_FORMAT=MLN","FA_ADJUSTED=GAAP","Sort=A","Dates=H","DateFormat=P","Fill=—","Direction=H","UseDPDF=Y")</f>
        <v>-277.40199999999999</v>
      </c>
      <c r="Q38" s="16">
        <f>_xll.BDH("ALNY US Equity","NI_INCLUDING_MINORITY_INT_RATIO","FQ3 2022","FQ3 2022","Currency=USD","Period=FQ","BEST_FPERIOD_OVERRIDE=FQ","FILING_STATUS=MR","SCALING_FORMAT=MLN","FA_ADJUSTED=GAAP","Sort=A","Dates=H","DateFormat=P","Fill=—","Direction=H","UseDPDF=Y")</f>
        <v>-405.92</v>
      </c>
      <c r="R38" s="16">
        <f>_xll.BDH("ALNY US Equity","NI_INCLUDING_MINORITY_INT_RATIO","FQ4 2022","FQ4 2022","Currency=USD","Period=FQ","BEST_FPERIOD_OVERRIDE=FQ","FILING_STATUS=MR","SCALING_FORMAT=MLN","FA_ADJUSTED=GAAP","Sort=A","Dates=H","DateFormat=P","Fill=—","Direction=H","UseDPDF=Y")</f>
        <v>-207.49299999999999</v>
      </c>
      <c r="S38" s="16">
        <f>_xll.BDH("ALNY US Equity","NI_INCLUDING_MINORITY_INT_RATIO","FQ1 2023","FQ1 2023","Currency=USD","Period=FQ","BEST_FPERIOD_OVERRIDE=FQ","FILING_STATUS=MR","SCALING_FORMAT=MLN","FA_ADJUSTED=GAAP","Sort=A","Dates=H","DateFormat=P","Fill=—","Direction=H","UseDPDF=Y")</f>
        <v>-174.101</v>
      </c>
      <c r="T38" s="16">
        <f>_xll.BDH("ALNY US Equity","NI_INCLUDING_MINORITY_INT_RATIO","FQ2 2023","FQ2 2023","Currency=USD","Period=FQ","BEST_FPERIOD_OVERRIDE=FQ","FILING_STATUS=MR","SCALING_FORMAT=MLN","FA_ADJUSTED=GAAP","Sort=A","Dates=H","DateFormat=P","Fill=—","Direction=H","UseDPDF=Y")</f>
        <v>-276.024</v>
      </c>
      <c r="U38" s="16">
        <f>_xll.BDH("ALNY US Equity","NI_INCLUDING_MINORITY_INT_RATIO","FQ3 2023","FQ3 2023","Currency=USD","Period=FQ","BEST_FPERIOD_OVERRIDE=FQ","FILING_STATUS=MR","SCALING_FORMAT=MLN","FA_ADJUSTED=GAAP","Sort=A","Dates=H","DateFormat=P","Fill=—","Direction=H","UseDPDF=Y")</f>
        <v>147.75299999999999</v>
      </c>
      <c r="V38" s="16">
        <f>_xll.BDH("ALNY US Equity","NI_INCLUDING_MINORITY_INT_RATIO","FQ4 2023","FQ4 2023","Currency=USD","Period=FQ","BEST_FPERIOD_OVERRIDE=FQ","FILING_STATUS=MR","SCALING_FORMAT=MLN","FA_ADJUSTED=GAAP","Sort=A","Dates=H","DateFormat=P","Fill=—","Direction=H","UseDPDF=Y")</f>
        <v>-137.87</v>
      </c>
      <c r="W38" s="16">
        <f>_xll.BDH("ALNY US Equity","NI_INCLUDING_MINORITY_INT_RATIO","FQ1 2024","FQ1 2024","Currency=USD","Period=FQ","BEST_FPERIOD_OVERRIDE=FQ","FILING_STATUS=MR","SCALING_FORMAT=MLN","FA_ADJUSTED=GAAP","Sort=A","Dates=H","DateFormat=P","Fill=—","Direction=H","UseDPDF=Y")</f>
        <v>-65.935000000000002</v>
      </c>
      <c r="X38" s="16">
        <f>_xll.BDH("ALNY US Equity","NI_INCLUDING_MINORITY_INT_RATIO","FQ2 2024","FQ2 2024","Currency=USD","Period=FQ","BEST_FPERIOD_OVERRIDE=FQ","FILING_STATUS=MR","SCALING_FORMAT=MLN","FA_ADJUSTED=GAAP","Sort=A","Dates=H","DateFormat=P","Fill=—","Direction=H","UseDPDF=Y")</f>
        <v>-16.888999999999999</v>
      </c>
      <c r="Y38" s="16">
        <f>_xll.BDH("ALNY US Equity","NI_INCLUDING_MINORITY_INT_RATIO","FQ3 2024","FQ3 2024","Currency=USD","Period=FQ","BEST_FPERIOD_OVERRIDE=FQ","FILING_STATUS=MR","SCALING_FORMAT=MLN","FA_ADJUSTED=GAAP","Sort=A","Dates=H","DateFormat=P","Fill=—","Direction=H","UseDPDF=Y")</f>
        <v>-111.57</v>
      </c>
      <c r="Z38" s="16">
        <f>_xll.BDH("ALNY US Equity","NI_INCLUDING_MINORITY_INT_RATIO","FQ4 2024","FQ4 2024","Currency=USD","Period=FQ","BEST_FPERIOD_OVERRIDE=FQ","FILING_STATUS=MR","SCALING_FORMAT=MLN","FA_ADJUSTED=GAAP","Sort=A","Dates=H","DateFormat=P","Fill=—","Direction=H","UseDPDF=Y")</f>
        <v>-83.763000000000005</v>
      </c>
    </row>
    <row r="39" spans="1:26" x14ac:dyDescent="0.25">
      <c r="A39" s="10" t="s">
        <v>118</v>
      </c>
      <c r="B39" s="10" t="s">
        <v>119</v>
      </c>
      <c r="C39" s="13">
        <f>_xll.BDH("ALNY US Equity","MIN_NONCONTROL_INTEREST_CREDITS","FQ1 2019","FQ1 2019","Currency=USD","Period=FQ","BEST_FPERIOD_OVERRIDE=FQ","FILING_STATUS=MR","SCALING_FORMAT=MLN","FA_ADJUSTED=GAAP","Sort=A","Dates=H","DateFormat=P","Fill=—","Direction=H","UseDPDF=Y")</f>
        <v>0</v>
      </c>
      <c r="D39" s="13">
        <f>_xll.BDH("ALNY US Equity","MIN_NONCONTROL_INTEREST_CREDITS","FQ2 2019","FQ2 2019","Currency=USD","Period=FQ","BEST_FPERIOD_OVERRIDE=FQ","FILING_STATUS=MR","SCALING_FORMAT=MLN","FA_ADJUSTED=GAAP","Sort=A","Dates=H","DateFormat=P","Fill=—","Direction=H","UseDPDF=Y")</f>
        <v>0</v>
      </c>
      <c r="E39" s="13">
        <f>_xll.BDH("ALNY US Equity","MIN_NONCONTROL_INTEREST_CREDITS","FQ3 2019","FQ3 2019","Currency=USD","Period=FQ","BEST_FPERIOD_OVERRIDE=FQ","FILING_STATUS=MR","SCALING_FORMAT=MLN","FA_ADJUSTED=GAAP","Sort=A","Dates=H","DateFormat=P","Fill=—","Direction=H","UseDPDF=Y")</f>
        <v>0</v>
      </c>
      <c r="F39" s="13">
        <f>_xll.BDH("ALNY US Equity","MIN_NONCONTROL_INTEREST_CREDITS","FQ4 2019","FQ4 2019","Currency=USD","Period=FQ","BEST_FPERIOD_OVERRIDE=FQ","FILING_STATUS=MR","SCALING_FORMAT=MLN","FA_ADJUSTED=GAAP","Sort=A","Dates=H","DateFormat=P","Fill=—","Direction=H","UseDPDF=Y")</f>
        <v>0</v>
      </c>
      <c r="G39" s="13">
        <f>_xll.BDH("ALNY US Equity","MIN_NONCONTROL_INTEREST_CREDITS","FQ1 2020","FQ1 2020","Currency=USD","Period=FQ","BEST_FPERIOD_OVERRIDE=FQ","FILING_STATUS=MR","SCALING_FORMAT=MLN","FA_ADJUSTED=GAAP","Sort=A","Dates=H","DateFormat=P","Fill=—","Direction=H","UseDPDF=Y")</f>
        <v>0</v>
      </c>
      <c r="H39" s="13">
        <f>_xll.BDH("ALNY US Equity","MIN_NONCONTROL_INTEREST_CREDITS","FQ2 2020","FQ2 2020","Currency=USD","Period=FQ","BEST_FPERIOD_OVERRIDE=FQ","FILING_STATUS=MR","SCALING_FORMAT=MLN","FA_ADJUSTED=GAAP","Sort=A","Dates=H","DateFormat=P","Fill=—","Direction=H","UseDPDF=Y")</f>
        <v>0</v>
      </c>
      <c r="I39" s="13">
        <f>_xll.BDH("ALNY US Equity","MIN_NONCONTROL_INTEREST_CREDITS","FQ3 2020","FQ3 2020","Currency=USD","Period=FQ","BEST_FPERIOD_OVERRIDE=FQ","FILING_STATUS=MR","SCALING_FORMAT=MLN","FA_ADJUSTED=GAAP","Sort=A","Dates=H","DateFormat=P","Fill=—","Direction=H","UseDPDF=Y")</f>
        <v>0</v>
      </c>
      <c r="J39" s="13">
        <f>_xll.BDH("ALNY US Equity","MIN_NONCONTROL_INTEREST_CREDITS","FQ4 2020","FQ4 2020","Currency=USD","Period=FQ","BEST_FPERIOD_OVERRIDE=FQ","FILING_STATUS=MR","SCALING_FORMAT=MLN","FA_ADJUSTED=GAAP","Sort=A","Dates=H","DateFormat=P","Fill=—","Direction=H","UseDPDF=Y")</f>
        <v>0</v>
      </c>
      <c r="K39" s="13">
        <f>_xll.BDH("ALNY US Equity","MIN_NONCONTROL_INTEREST_CREDITS","FQ1 2021","FQ1 2021","Currency=USD","Period=FQ","BEST_FPERIOD_OVERRIDE=FQ","FILING_STATUS=MR","SCALING_FORMAT=MLN","FA_ADJUSTED=GAAP","Sort=A","Dates=H","DateFormat=P","Fill=—","Direction=H","UseDPDF=Y")</f>
        <v>0</v>
      </c>
      <c r="L39" s="13">
        <f>_xll.BDH("ALNY US Equity","MIN_NONCONTROL_INTEREST_CREDITS","FQ2 2021","FQ2 2021","Currency=USD","Period=FQ","BEST_FPERIOD_OVERRIDE=FQ","FILING_STATUS=MR","SCALING_FORMAT=MLN","FA_ADJUSTED=GAAP","Sort=A","Dates=H","DateFormat=P","Fill=—","Direction=H","UseDPDF=Y")</f>
        <v>0</v>
      </c>
      <c r="M39" s="13">
        <f>_xll.BDH("ALNY US Equity","MIN_NONCONTROL_INTEREST_CREDITS","FQ3 2021","FQ3 2021","Currency=USD","Period=FQ","BEST_FPERIOD_OVERRIDE=FQ","FILING_STATUS=MR","SCALING_FORMAT=MLN","FA_ADJUSTED=GAAP","Sort=A","Dates=H","DateFormat=P","Fill=—","Direction=H","UseDPDF=Y")</f>
        <v>0</v>
      </c>
      <c r="N39" s="13">
        <f>_xll.BDH("ALNY US Equity","MIN_NONCONTROL_INTEREST_CREDITS","FQ4 2021","FQ4 2021","Currency=USD","Period=FQ","BEST_FPERIOD_OVERRIDE=FQ","FILING_STATUS=MR","SCALING_FORMAT=MLN","FA_ADJUSTED=GAAP","Sort=A","Dates=H","DateFormat=P","Fill=—","Direction=H","UseDPDF=Y")</f>
        <v>0</v>
      </c>
      <c r="O39" s="13">
        <f>_xll.BDH("ALNY US Equity","MIN_NONCONTROL_INTEREST_CREDITS","FQ1 2022","FQ1 2022","Currency=USD","Period=FQ","BEST_FPERIOD_OVERRIDE=FQ","FILING_STATUS=MR","SCALING_FORMAT=MLN","FA_ADJUSTED=GAAP","Sort=A","Dates=H","DateFormat=P","Fill=—","Direction=H","UseDPDF=Y")</f>
        <v>0</v>
      </c>
      <c r="P39" s="13">
        <f>_xll.BDH("ALNY US Equity","MIN_NONCONTROL_INTEREST_CREDITS","FQ2 2022","FQ2 2022","Currency=USD","Period=FQ","BEST_FPERIOD_OVERRIDE=FQ","FILING_STATUS=MR","SCALING_FORMAT=MLN","FA_ADJUSTED=GAAP","Sort=A","Dates=H","DateFormat=P","Fill=—","Direction=H","UseDPDF=Y")</f>
        <v>0</v>
      </c>
      <c r="Q39" s="13">
        <f>_xll.BDH("ALNY US Equity","MIN_NONCONTROL_INTEREST_CREDITS","FQ3 2022","FQ3 2022","Currency=USD","Period=FQ","BEST_FPERIOD_OVERRIDE=FQ","FILING_STATUS=MR","SCALING_FORMAT=MLN","FA_ADJUSTED=GAAP","Sort=A","Dates=H","DateFormat=P","Fill=—","Direction=H","UseDPDF=Y")</f>
        <v>0</v>
      </c>
      <c r="R39" s="13">
        <f>_xll.BDH("ALNY US Equity","MIN_NONCONTROL_INTEREST_CREDITS","FQ4 2022","FQ4 2022","Currency=USD","Period=FQ","BEST_FPERIOD_OVERRIDE=FQ","FILING_STATUS=MR","SCALING_FORMAT=MLN","FA_ADJUSTED=GAAP","Sort=A","Dates=H","DateFormat=P","Fill=—","Direction=H","UseDPDF=Y")</f>
        <v>0</v>
      </c>
      <c r="S39" s="13">
        <f>_xll.BDH("ALNY US Equity","MIN_NONCONTROL_INTEREST_CREDITS","FQ1 2023","FQ1 2023","Currency=USD","Period=FQ","BEST_FPERIOD_OVERRIDE=FQ","FILING_STATUS=MR","SCALING_FORMAT=MLN","FA_ADJUSTED=GAAP","Sort=A","Dates=H","DateFormat=P","Fill=—","Direction=H","UseDPDF=Y")</f>
        <v>0</v>
      </c>
      <c r="T39" s="13">
        <f>_xll.BDH("ALNY US Equity","MIN_NONCONTROL_INTEREST_CREDITS","FQ2 2023","FQ2 2023","Currency=USD","Period=FQ","BEST_FPERIOD_OVERRIDE=FQ","FILING_STATUS=MR","SCALING_FORMAT=MLN","FA_ADJUSTED=GAAP","Sort=A","Dates=H","DateFormat=P","Fill=—","Direction=H","UseDPDF=Y")</f>
        <v>0</v>
      </c>
      <c r="U39" s="13">
        <f>_xll.BDH("ALNY US Equity","MIN_NONCONTROL_INTEREST_CREDITS","FQ3 2023","FQ3 2023","Currency=USD","Period=FQ","BEST_FPERIOD_OVERRIDE=FQ","FILING_STATUS=MR","SCALING_FORMAT=MLN","FA_ADJUSTED=GAAP","Sort=A","Dates=H","DateFormat=P","Fill=—","Direction=H","UseDPDF=Y")</f>
        <v>0</v>
      </c>
      <c r="V39" s="13">
        <f>_xll.BDH("ALNY US Equity","MIN_NONCONTROL_INTEREST_CREDITS","FQ4 2023","FQ4 2023","Currency=USD","Period=FQ","BEST_FPERIOD_OVERRIDE=FQ","FILING_STATUS=MR","SCALING_FORMAT=MLN","FA_ADJUSTED=GAAP","Sort=A","Dates=H","DateFormat=P","Fill=—","Direction=H","UseDPDF=Y")</f>
        <v>0</v>
      </c>
      <c r="W39" s="13">
        <f>_xll.BDH("ALNY US Equity","MIN_NONCONTROL_INTEREST_CREDITS","FQ1 2024","FQ1 2024","Currency=USD","Period=FQ","BEST_FPERIOD_OVERRIDE=FQ","FILING_STATUS=MR","SCALING_FORMAT=MLN","FA_ADJUSTED=GAAP","Sort=A","Dates=H","DateFormat=P","Fill=—","Direction=H","UseDPDF=Y")</f>
        <v>0</v>
      </c>
      <c r="X39" s="13">
        <f>_xll.BDH("ALNY US Equity","MIN_NONCONTROL_INTEREST_CREDITS","FQ2 2024","FQ2 2024","Currency=USD","Period=FQ","BEST_FPERIOD_OVERRIDE=FQ","FILING_STATUS=MR","SCALING_FORMAT=MLN","FA_ADJUSTED=GAAP","Sort=A","Dates=H","DateFormat=P","Fill=—","Direction=H","UseDPDF=Y")</f>
        <v>0</v>
      </c>
      <c r="Y39" s="13">
        <f>_xll.BDH("ALNY US Equity","MIN_NONCONTROL_INTEREST_CREDITS","FQ3 2024","FQ3 2024","Currency=USD","Period=FQ","BEST_FPERIOD_OVERRIDE=FQ","FILING_STATUS=MR","SCALING_FORMAT=MLN","FA_ADJUSTED=GAAP","Sort=A","Dates=H","DateFormat=P","Fill=—","Direction=H","UseDPDF=Y")</f>
        <v>0</v>
      </c>
      <c r="Z39" s="13">
        <f>_xll.BDH("ALNY US Equity","MIN_NONCONTROL_INTEREST_CREDITS","FQ4 2024","FQ4 2024","Currency=USD","Period=FQ","BEST_FPERIOD_OVERRIDE=FQ","FILING_STATUS=MR","SCALING_FORMAT=MLN","FA_ADJUSTED=GAAP","Sort=A","Dates=H","DateFormat=P","Fill=—","Direction=H","UseDPDF=Y")</f>
        <v>0</v>
      </c>
    </row>
    <row r="40" spans="1:26" x14ac:dyDescent="0.25">
      <c r="A40" s="6" t="s">
        <v>120</v>
      </c>
      <c r="B40" s="6" t="s">
        <v>121</v>
      </c>
      <c r="C40" s="16">
        <f>_xll.BDH("ALNY US Equity","NET_INCOME","FQ1 2019","FQ1 2019","Currency=USD","Period=FQ","BEST_FPERIOD_OVERRIDE=FQ","FILING_STATUS=MR","SCALING_FORMAT=MLN","FA_ADJUSTED=GAAP","Sort=A","Dates=H","DateFormat=P","Fill=—","Direction=H","UseDPDF=Y")</f>
        <v>-181.91499999999999</v>
      </c>
      <c r="D40" s="16">
        <f>_xll.BDH("ALNY US Equity","NET_INCOME","FQ2 2019","FQ2 2019","Currency=USD","Period=FQ","BEST_FPERIOD_OVERRIDE=FQ","FILING_STATUS=MR","SCALING_FORMAT=MLN","FA_ADJUSTED=GAAP","Sort=A","Dates=H","DateFormat=P","Fill=—","Direction=H","UseDPDF=Y")</f>
        <v>-219.48099999999999</v>
      </c>
      <c r="E40" s="16">
        <f>_xll.BDH("ALNY US Equity","NET_INCOME","FQ3 2019","FQ3 2019","Currency=USD","Period=FQ","BEST_FPERIOD_OVERRIDE=FQ","FILING_STATUS=MR","SCALING_FORMAT=MLN","FA_ADJUSTED=GAAP","Sort=A","Dates=H","DateFormat=P","Fill=—","Direction=H","UseDPDF=Y")</f>
        <v>-208.535</v>
      </c>
      <c r="F40" s="16">
        <f>_xll.BDH("ALNY US Equity","NET_INCOME","FQ4 2019","FQ4 2019","Currency=USD","Period=FQ","BEST_FPERIOD_OVERRIDE=FQ","FILING_STATUS=MR","SCALING_FORMAT=MLN","FA_ADJUSTED=GAAP","Sort=A","Dates=H","DateFormat=P","Fill=—","Direction=H","UseDPDF=Y")</f>
        <v>-276.185</v>
      </c>
      <c r="G40" s="16">
        <f>_xll.BDH("ALNY US Equity","NET_INCOME","FQ1 2020","FQ1 2020","Currency=USD","Period=FQ","BEST_FPERIOD_OVERRIDE=FQ","FILING_STATUS=MR","SCALING_FORMAT=MLN","FA_ADJUSTED=GAAP","Sort=A","Dates=H","DateFormat=P","Fill=—","Direction=H","UseDPDF=Y")</f>
        <v>-182.221</v>
      </c>
      <c r="H40" s="16">
        <f>_xll.BDH("ALNY US Equity","NET_INCOME","FQ2 2020","FQ2 2020","Currency=USD","Period=FQ","BEST_FPERIOD_OVERRIDE=FQ","FILING_STATUS=MR","SCALING_FORMAT=MLN","FA_ADJUSTED=GAAP","Sort=A","Dates=H","DateFormat=P","Fill=—","Direction=H","UseDPDF=Y")</f>
        <v>-179.22900000000001</v>
      </c>
      <c r="I40" s="16">
        <f>_xll.BDH("ALNY US Equity","NET_INCOME","FQ3 2020","FQ3 2020","Currency=USD","Period=FQ","BEST_FPERIOD_OVERRIDE=FQ","FILING_STATUS=MR","SCALING_FORMAT=MLN","FA_ADJUSTED=GAAP","Sort=A","Dates=H","DateFormat=P","Fill=—","Direction=H","UseDPDF=Y")</f>
        <v>-253.291</v>
      </c>
      <c r="J40" s="16">
        <f>_xll.BDH("ALNY US Equity","NET_INCOME","FQ4 2020","FQ4 2020","Currency=USD","Period=FQ","BEST_FPERIOD_OVERRIDE=FQ","FILING_STATUS=MR","SCALING_FORMAT=MLN","FA_ADJUSTED=GAAP","Sort=A","Dates=H","DateFormat=P","Fill=—","Direction=H","UseDPDF=Y")</f>
        <v>-243.54</v>
      </c>
      <c r="K40" s="16">
        <f>_xll.BDH("ALNY US Equity","NET_INCOME","FQ1 2021","FQ1 2021","Currency=USD","Period=FQ","BEST_FPERIOD_OVERRIDE=FQ","FILING_STATUS=MR","SCALING_FORMAT=MLN","FA_ADJUSTED=GAAP","Sort=A","Dates=H","DateFormat=P","Fill=—","Direction=H","UseDPDF=Y")</f>
        <v>-200.291</v>
      </c>
      <c r="L40" s="16">
        <f>_xll.BDH("ALNY US Equity","NET_INCOME","FQ2 2021","FQ2 2021","Currency=USD","Period=FQ","BEST_FPERIOD_OVERRIDE=FQ","FILING_STATUS=MR","SCALING_FORMAT=MLN","FA_ADJUSTED=GAAP","Sort=A","Dates=H","DateFormat=P","Fill=—","Direction=H","UseDPDF=Y")</f>
        <v>-189.559</v>
      </c>
      <c r="M40" s="16">
        <f>_xll.BDH("ALNY US Equity","NET_INCOME","FQ3 2021","FQ3 2021","Currency=USD","Period=FQ","BEST_FPERIOD_OVERRIDE=FQ","FILING_STATUS=MR","SCALING_FORMAT=MLN","FA_ADJUSTED=GAAP","Sort=A","Dates=H","DateFormat=P","Fill=—","Direction=H","UseDPDF=Y")</f>
        <v>-204.51400000000001</v>
      </c>
      <c r="N40" s="16">
        <f>_xll.BDH("ALNY US Equity","NET_INCOME","FQ4 2021","FQ4 2021","Currency=USD","Period=FQ","BEST_FPERIOD_OVERRIDE=FQ","FILING_STATUS=MR","SCALING_FORMAT=MLN","FA_ADJUSTED=GAAP","Sort=A","Dates=H","DateFormat=P","Fill=—","Direction=H","UseDPDF=Y")</f>
        <v>-258.45999999999998</v>
      </c>
      <c r="O40" s="16">
        <f>_xll.BDH("ALNY US Equity","NET_INCOME","FQ1 2022","FQ1 2022","Currency=USD","Period=FQ","BEST_FPERIOD_OVERRIDE=FQ","FILING_STATUS=MR","SCALING_FORMAT=MLN","FA_ADJUSTED=GAAP","Sort=A","Dates=H","DateFormat=P","Fill=—","Direction=H","UseDPDF=Y")</f>
        <v>-240.34100000000001</v>
      </c>
      <c r="P40" s="16">
        <f>_xll.BDH("ALNY US Equity","NET_INCOME","FQ2 2022","FQ2 2022","Currency=USD","Period=FQ","BEST_FPERIOD_OVERRIDE=FQ","FILING_STATUS=MR","SCALING_FORMAT=MLN","FA_ADJUSTED=GAAP","Sort=A","Dates=H","DateFormat=P","Fill=—","Direction=H","UseDPDF=Y")</f>
        <v>-277.40199999999999</v>
      </c>
      <c r="Q40" s="16">
        <f>_xll.BDH("ALNY US Equity","NET_INCOME","FQ3 2022","FQ3 2022","Currency=USD","Period=FQ","BEST_FPERIOD_OVERRIDE=FQ","FILING_STATUS=MR","SCALING_FORMAT=MLN","FA_ADJUSTED=GAAP","Sort=A","Dates=H","DateFormat=P","Fill=—","Direction=H","UseDPDF=Y")</f>
        <v>-405.92</v>
      </c>
      <c r="R40" s="16">
        <f>_xll.BDH("ALNY US Equity","NET_INCOME","FQ4 2022","FQ4 2022","Currency=USD","Period=FQ","BEST_FPERIOD_OVERRIDE=FQ","FILING_STATUS=MR","SCALING_FORMAT=MLN","FA_ADJUSTED=GAAP","Sort=A","Dates=H","DateFormat=P","Fill=—","Direction=H","UseDPDF=Y")</f>
        <v>-207.49299999999999</v>
      </c>
      <c r="S40" s="16">
        <f>_xll.BDH("ALNY US Equity","NET_INCOME","FQ1 2023","FQ1 2023","Currency=USD","Period=FQ","BEST_FPERIOD_OVERRIDE=FQ","FILING_STATUS=MR","SCALING_FORMAT=MLN","FA_ADJUSTED=GAAP","Sort=A","Dates=H","DateFormat=P","Fill=—","Direction=H","UseDPDF=Y")</f>
        <v>-174.101</v>
      </c>
      <c r="T40" s="16">
        <f>_xll.BDH("ALNY US Equity","NET_INCOME","FQ2 2023","FQ2 2023","Currency=USD","Period=FQ","BEST_FPERIOD_OVERRIDE=FQ","FILING_STATUS=MR","SCALING_FORMAT=MLN","FA_ADJUSTED=GAAP","Sort=A","Dates=H","DateFormat=P","Fill=—","Direction=H","UseDPDF=Y")</f>
        <v>-276.024</v>
      </c>
      <c r="U40" s="16">
        <f>_xll.BDH("ALNY US Equity","NET_INCOME","FQ3 2023","FQ3 2023","Currency=USD","Period=FQ","BEST_FPERIOD_OVERRIDE=FQ","FILING_STATUS=MR","SCALING_FORMAT=MLN","FA_ADJUSTED=GAAP","Sort=A","Dates=H","DateFormat=P","Fill=—","Direction=H","UseDPDF=Y")</f>
        <v>147.75299999999999</v>
      </c>
      <c r="V40" s="16">
        <f>_xll.BDH("ALNY US Equity","NET_INCOME","FQ4 2023","FQ4 2023","Currency=USD","Period=FQ","BEST_FPERIOD_OVERRIDE=FQ","FILING_STATUS=MR","SCALING_FORMAT=MLN","FA_ADJUSTED=GAAP","Sort=A","Dates=H","DateFormat=P","Fill=—","Direction=H","UseDPDF=Y")</f>
        <v>-137.87</v>
      </c>
      <c r="W40" s="16">
        <f>_xll.BDH("ALNY US Equity","NET_INCOME","FQ1 2024","FQ1 2024","Currency=USD","Period=FQ","BEST_FPERIOD_OVERRIDE=FQ","FILING_STATUS=MR","SCALING_FORMAT=MLN","FA_ADJUSTED=GAAP","Sort=A","Dates=H","DateFormat=P","Fill=—","Direction=H","UseDPDF=Y")</f>
        <v>-65.935000000000002</v>
      </c>
      <c r="X40" s="16">
        <f>_xll.BDH("ALNY US Equity","NET_INCOME","FQ2 2024","FQ2 2024","Currency=USD","Period=FQ","BEST_FPERIOD_OVERRIDE=FQ","FILING_STATUS=MR","SCALING_FORMAT=MLN","FA_ADJUSTED=GAAP","Sort=A","Dates=H","DateFormat=P","Fill=—","Direction=H","UseDPDF=Y")</f>
        <v>-16.888999999999999</v>
      </c>
      <c r="Y40" s="16">
        <f>_xll.BDH("ALNY US Equity","NET_INCOME","FQ3 2024","FQ3 2024","Currency=USD","Period=FQ","BEST_FPERIOD_OVERRIDE=FQ","FILING_STATUS=MR","SCALING_FORMAT=MLN","FA_ADJUSTED=GAAP","Sort=A","Dates=H","DateFormat=P","Fill=—","Direction=H","UseDPDF=Y")</f>
        <v>-111.57</v>
      </c>
      <c r="Z40" s="16">
        <f>_xll.BDH("ALNY US Equity","NET_INCOME","FQ4 2024","FQ4 2024","Currency=USD","Period=FQ","BEST_FPERIOD_OVERRIDE=FQ","FILING_STATUS=MR","SCALING_FORMAT=MLN","FA_ADJUSTED=GAAP","Sort=A","Dates=H","DateFormat=P","Fill=—","Direction=H","UseDPDF=Y")</f>
        <v>-83.763000000000005</v>
      </c>
    </row>
    <row r="41" spans="1:26" x14ac:dyDescent="0.25">
      <c r="A41" s="10" t="s">
        <v>122</v>
      </c>
      <c r="B41" s="10" t="s">
        <v>123</v>
      </c>
      <c r="C41" s="13">
        <f>_xll.BDH("ALNY US Equity","IS_TOT_CASH_PFD_DVD","FQ1 2019","FQ1 2019","Currency=USD","Period=FQ","BEST_FPERIOD_OVERRIDE=FQ","FILING_STATUS=MR","SCALING_FORMAT=MLN","Sort=A","Dates=H","DateFormat=P","Fill=—","Direction=H","UseDPDF=Y")</f>
        <v>0</v>
      </c>
      <c r="D41" s="13">
        <f>_xll.BDH("ALNY US Equity","IS_TOT_CASH_PFD_DVD","FQ2 2019","FQ2 2019","Currency=USD","Period=FQ","BEST_FPERIOD_OVERRIDE=FQ","FILING_STATUS=MR","SCALING_FORMAT=MLN","Sort=A","Dates=H","DateFormat=P","Fill=—","Direction=H","UseDPDF=Y")</f>
        <v>0</v>
      </c>
      <c r="E41" s="13">
        <f>_xll.BDH("ALNY US Equity","IS_TOT_CASH_PFD_DVD","FQ3 2019","FQ3 2019","Currency=USD","Period=FQ","BEST_FPERIOD_OVERRIDE=FQ","FILING_STATUS=MR","SCALING_FORMAT=MLN","Sort=A","Dates=H","DateFormat=P","Fill=—","Direction=H","UseDPDF=Y")</f>
        <v>0</v>
      </c>
      <c r="F41" s="13">
        <f>_xll.BDH("ALNY US Equity","IS_TOT_CASH_PFD_DVD","FQ4 2019","FQ4 2019","Currency=USD","Period=FQ","BEST_FPERIOD_OVERRIDE=FQ","FILING_STATUS=MR","SCALING_FORMAT=MLN","Sort=A","Dates=H","DateFormat=P","Fill=—","Direction=H","UseDPDF=Y")</f>
        <v>0</v>
      </c>
      <c r="G41" s="13">
        <f>_xll.BDH("ALNY US Equity","IS_TOT_CASH_PFD_DVD","FQ1 2020","FQ1 2020","Currency=USD","Period=FQ","BEST_FPERIOD_OVERRIDE=FQ","FILING_STATUS=MR","SCALING_FORMAT=MLN","Sort=A","Dates=H","DateFormat=P","Fill=—","Direction=H","UseDPDF=Y")</f>
        <v>0</v>
      </c>
      <c r="H41" s="13">
        <f>_xll.BDH("ALNY US Equity","IS_TOT_CASH_PFD_DVD","FQ2 2020","FQ2 2020","Currency=USD","Period=FQ","BEST_FPERIOD_OVERRIDE=FQ","FILING_STATUS=MR","SCALING_FORMAT=MLN","Sort=A","Dates=H","DateFormat=P","Fill=—","Direction=H","UseDPDF=Y")</f>
        <v>0</v>
      </c>
      <c r="I41" s="13">
        <f>_xll.BDH("ALNY US Equity","IS_TOT_CASH_PFD_DVD","FQ3 2020","FQ3 2020","Currency=USD","Period=FQ","BEST_FPERIOD_OVERRIDE=FQ","FILING_STATUS=MR","SCALING_FORMAT=MLN","Sort=A","Dates=H","DateFormat=P","Fill=—","Direction=H","UseDPDF=Y")</f>
        <v>0</v>
      </c>
      <c r="J41" s="13">
        <f>_xll.BDH("ALNY US Equity","IS_TOT_CASH_PFD_DVD","FQ4 2020","FQ4 2020","Currency=USD","Period=FQ","BEST_FPERIOD_OVERRIDE=FQ","FILING_STATUS=MR","SCALING_FORMAT=MLN","Sort=A","Dates=H","DateFormat=P","Fill=—","Direction=H","UseDPDF=Y")</f>
        <v>0</v>
      </c>
      <c r="K41" s="13">
        <f>_xll.BDH("ALNY US Equity","IS_TOT_CASH_PFD_DVD","FQ1 2021","FQ1 2021","Currency=USD","Period=FQ","BEST_FPERIOD_OVERRIDE=FQ","FILING_STATUS=MR","SCALING_FORMAT=MLN","Sort=A","Dates=H","DateFormat=P","Fill=—","Direction=H","UseDPDF=Y")</f>
        <v>0</v>
      </c>
      <c r="L41" s="13">
        <f>_xll.BDH("ALNY US Equity","IS_TOT_CASH_PFD_DVD","FQ2 2021","FQ2 2021","Currency=USD","Period=FQ","BEST_FPERIOD_OVERRIDE=FQ","FILING_STATUS=MR","SCALING_FORMAT=MLN","Sort=A","Dates=H","DateFormat=P","Fill=—","Direction=H","UseDPDF=Y")</f>
        <v>0</v>
      </c>
      <c r="M41" s="13">
        <f>_xll.BDH("ALNY US Equity","IS_TOT_CASH_PFD_DVD","FQ3 2021","FQ3 2021","Currency=USD","Period=FQ","BEST_FPERIOD_OVERRIDE=FQ","FILING_STATUS=MR","SCALING_FORMAT=MLN","Sort=A","Dates=H","DateFormat=P","Fill=—","Direction=H","UseDPDF=Y")</f>
        <v>0</v>
      </c>
      <c r="N41" s="13">
        <f>_xll.BDH("ALNY US Equity","IS_TOT_CASH_PFD_DVD","FQ4 2021","FQ4 2021","Currency=USD","Period=FQ","BEST_FPERIOD_OVERRIDE=FQ","FILING_STATUS=MR","SCALING_FORMAT=MLN","Sort=A","Dates=H","DateFormat=P","Fill=—","Direction=H","UseDPDF=Y")</f>
        <v>0</v>
      </c>
      <c r="O41" s="13">
        <f>_xll.BDH("ALNY US Equity","IS_TOT_CASH_PFD_DVD","FQ1 2022","FQ1 2022","Currency=USD","Period=FQ","BEST_FPERIOD_OVERRIDE=FQ","FILING_STATUS=MR","SCALING_FORMAT=MLN","Sort=A","Dates=H","DateFormat=P","Fill=—","Direction=H","UseDPDF=Y")</f>
        <v>0</v>
      </c>
      <c r="P41" s="13">
        <f>_xll.BDH("ALNY US Equity","IS_TOT_CASH_PFD_DVD","FQ2 2022","FQ2 2022","Currency=USD","Period=FQ","BEST_FPERIOD_OVERRIDE=FQ","FILING_STATUS=MR","SCALING_FORMAT=MLN","Sort=A","Dates=H","DateFormat=P","Fill=—","Direction=H","UseDPDF=Y")</f>
        <v>0</v>
      </c>
      <c r="Q41" s="13">
        <f>_xll.BDH("ALNY US Equity","IS_TOT_CASH_PFD_DVD","FQ3 2022","FQ3 2022","Currency=USD","Period=FQ","BEST_FPERIOD_OVERRIDE=FQ","FILING_STATUS=MR","SCALING_FORMAT=MLN","Sort=A","Dates=H","DateFormat=P","Fill=—","Direction=H","UseDPDF=Y")</f>
        <v>0</v>
      </c>
      <c r="R41" s="13">
        <f>_xll.BDH("ALNY US Equity","IS_TOT_CASH_PFD_DVD","FQ4 2022","FQ4 2022","Currency=USD","Period=FQ","BEST_FPERIOD_OVERRIDE=FQ","FILING_STATUS=MR","SCALING_FORMAT=MLN","Sort=A","Dates=H","DateFormat=P","Fill=—","Direction=H","UseDPDF=Y")</f>
        <v>0</v>
      </c>
      <c r="S41" s="13">
        <f>_xll.BDH("ALNY US Equity","IS_TOT_CASH_PFD_DVD","FQ1 2023","FQ1 2023","Currency=USD","Period=FQ","BEST_FPERIOD_OVERRIDE=FQ","FILING_STATUS=MR","SCALING_FORMAT=MLN","Sort=A","Dates=H","DateFormat=P","Fill=—","Direction=H","UseDPDF=Y")</f>
        <v>0</v>
      </c>
      <c r="T41" s="13">
        <f>_xll.BDH("ALNY US Equity","IS_TOT_CASH_PFD_DVD","FQ2 2023","FQ2 2023","Currency=USD","Period=FQ","BEST_FPERIOD_OVERRIDE=FQ","FILING_STATUS=MR","SCALING_FORMAT=MLN","Sort=A","Dates=H","DateFormat=P","Fill=—","Direction=H","UseDPDF=Y")</f>
        <v>0</v>
      </c>
      <c r="U41" s="13">
        <f>_xll.BDH("ALNY US Equity","IS_TOT_CASH_PFD_DVD","FQ3 2023","FQ3 2023","Currency=USD","Period=FQ","BEST_FPERIOD_OVERRIDE=FQ","FILING_STATUS=MR","SCALING_FORMAT=MLN","Sort=A","Dates=H","DateFormat=P","Fill=—","Direction=H","UseDPDF=Y")</f>
        <v>0</v>
      </c>
      <c r="V41" s="13">
        <f>_xll.BDH("ALNY US Equity","IS_TOT_CASH_PFD_DVD","FQ4 2023","FQ4 2023","Currency=USD","Period=FQ","BEST_FPERIOD_OVERRIDE=FQ","FILING_STATUS=MR","SCALING_FORMAT=MLN","Sort=A","Dates=H","DateFormat=P","Fill=—","Direction=H","UseDPDF=Y")</f>
        <v>0</v>
      </c>
      <c r="W41" s="13">
        <f>_xll.BDH("ALNY US Equity","IS_TOT_CASH_PFD_DVD","FQ1 2024","FQ1 2024","Currency=USD","Period=FQ","BEST_FPERIOD_OVERRIDE=FQ","FILING_STATUS=MR","SCALING_FORMAT=MLN","Sort=A","Dates=H","DateFormat=P","Fill=—","Direction=H","UseDPDF=Y")</f>
        <v>0</v>
      </c>
      <c r="X41" s="13">
        <f>_xll.BDH("ALNY US Equity","IS_TOT_CASH_PFD_DVD","FQ2 2024","FQ2 2024","Currency=USD","Period=FQ","BEST_FPERIOD_OVERRIDE=FQ","FILING_STATUS=MR","SCALING_FORMAT=MLN","Sort=A","Dates=H","DateFormat=P","Fill=—","Direction=H","UseDPDF=Y")</f>
        <v>0</v>
      </c>
      <c r="Y41" s="13">
        <f>_xll.BDH("ALNY US Equity","IS_TOT_CASH_PFD_DVD","FQ3 2024","FQ3 2024","Currency=USD","Period=FQ","BEST_FPERIOD_OVERRIDE=FQ","FILING_STATUS=MR","SCALING_FORMAT=MLN","Sort=A","Dates=H","DateFormat=P","Fill=—","Direction=H","UseDPDF=Y")</f>
        <v>0</v>
      </c>
      <c r="Z41" s="13">
        <f>_xll.BDH("ALNY US Equity","IS_TOT_CASH_PFD_DVD","FQ4 2024","FQ4 2024","Currency=USD","Period=FQ","BEST_FPERIOD_OVERRIDE=FQ","FILING_STATUS=MR","SCALING_FORMAT=MLN","Sort=A","Dates=H","DateFormat=P","Fill=—","Direction=H","UseDPDF=Y")</f>
        <v>0</v>
      </c>
    </row>
    <row r="42" spans="1:26" x14ac:dyDescent="0.25">
      <c r="A42" s="10" t="s">
        <v>124</v>
      </c>
      <c r="B42" s="10" t="s">
        <v>125</v>
      </c>
      <c r="C42" s="13">
        <f>_xll.BDH("ALNY US Equity","OTHER_ADJUSTMENTS","FQ1 2019","FQ1 2019","Currency=USD","Period=FQ","BEST_FPERIOD_OVERRIDE=FQ","FILING_STATUS=MR","SCALING_FORMAT=MLN","Sort=A","Dates=H","DateFormat=P","Fill=—","Direction=H","UseDPDF=Y")</f>
        <v>0</v>
      </c>
      <c r="D42" s="13">
        <f>_xll.BDH("ALNY US Equity","OTHER_ADJUSTMENTS","FQ2 2019","FQ2 2019","Currency=USD","Period=FQ","BEST_FPERIOD_OVERRIDE=FQ","FILING_STATUS=MR","SCALING_FORMAT=MLN","Sort=A","Dates=H","DateFormat=P","Fill=—","Direction=H","UseDPDF=Y")</f>
        <v>0</v>
      </c>
      <c r="E42" s="13">
        <f>_xll.BDH("ALNY US Equity","OTHER_ADJUSTMENTS","FQ3 2019","FQ3 2019","Currency=USD","Period=FQ","BEST_FPERIOD_OVERRIDE=FQ","FILING_STATUS=MR","SCALING_FORMAT=MLN","Sort=A","Dates=H","DateFormat=P","Fill=—","Direction=H","UseDPDF=Y")</f>
        <v>0</v>
      </c>
      <c r="F42" s="13">
        <f>_xll.BDH("ALNY US Equity","OTHER_ADJUSTMENTS","FQ4 2019","FQ4 2019","Currency=USD","Period=FQ","BEST_FPERIOD_OVERRIDE=FQ","FILING_STATUS=MR","SCALING_FORMAT=MLN","Sort=A","Dates=H","DateFormat=P","Fill=—","Direction=H","UseDPDF=Y")</f>
        <v>0</v>
      </c>
      <c r="G42" s="13">
        <f>_xll.BDH("ALNY US Equity","OTHER_ADJUSTMENTS","FQ1 2020","FQ1 2020","Currency=USD","Period=FQ","BEST_FPERIOD_OVERRIDE=FQ","FILING_STATUS=MR","SCALING_FORMAT=MLN","Sort=A","Dates=H","DateFormat=P","Fill=—","Direction=H","UseDPDF=Y")</f>
        <v>0</v>
      </c>
      <c r="H42" s="13">
        <f>_xll.BDH("ALNY US Equity","OTHER_ADJUSTMENTS","FQ2 2020","FQ2 2020","Currency=USD","Period=FQ","BEST_FPERIOD_OVERRIDE=FQ","FILING_STATUS=MR","SCALING_FORMAT=MLN","Sort=A","Dates=H","DateFormat=P","Fill=—","Direction=H","UseDPDF=Y")</f>
        <v>0</v>
      </c>
      <c r="I42" s="13">
        <f>_xll.BDH("ALNY US Equity","OTHER_ADJUSTMENTS","FQ3 2020","FQ3 2020","Currency=USD","Period=FQ","BEST_FPERIOD_OVERRIDE=FQ","FILING_STATUS=MR","SCALING_FORMAT=MLN","Sort=A","Dates=H","DateFormat=P","Fill=—","Direction=H","UseDPDF=Y")</f>
        <v>0</v>
      </c>
      <c r="J42" s="13">
        <f>_xll.BDH("ALNY US Equity","OTHER_ADJUSTMENTS","FQ4 2020","FQ4 2020","Currency=USD","Period=FQ","BEST_FPERIOD_OVERRIDE=FQ","FILING_STATUS=MR","SCALING_FORMAT=MLN","Sort=A","Dates=H","DateFormat=P","Fill=—","Direction=H","UseDPDF=Y")</f>
        <v>0</v>
      </c>
      <c r="K42" s="13">
        <f>_xll.BDH("ALNY US Equity","OTHER_ADJUSTMENTS","FQ1 2021","FQ1 2021","Currency=USD","Period=FQ","BEST_FPERIOD_OVERRIDE=FQ","FILING_STATUS=MR","SCALING_FORMAT=MLN","Sort=A","Dates=H","DateFormat=P","Fill=—","Direction=H","UseDPDF=Y")</f>
        <v>0</v>
      </c>
      <c r="L42" s="13">
        <f>_xll.BDH("ALNY US Equity","OTHER_ADJUSTMENTS","FQ2 2021","FQ2 2021","Currency=USD","Period=FQ","BEST_FPERIOD_OVERRIDE=FQ","FILING_STATUS=MR","SCALING_FORMAT=MLN","Sort=A","Dates=H","DateFormat=P","Fill=—","Direction=H","UseDPDF=Y")</f>
        <v>0</v>
      </c>
      <c r="M42" s="13">
        <f>_xll.BDH("ALNY US Equity","OTHER_ADJUSTMENTS","FQ3 2021","FQ3 2021","Currency=USD","Period=FQ","BEST_FPERIOD_OVERRIDE=FQ","FILING_STATUS=MR","SCALING_FORMAT=MLN","Sort=A","Dates=H","DateFormat=P","Fill=—","Direction=H","UseDPDF=Y")</f>
        <v>0</v>
      </c>
      <c r="N42" s="13">
        <f>_xll.BDH("ALNY US Equity","OTHER_ADJUSTMENTS","FQ4 2021","FQ4 2021","Currency=USD","Period=FQ","BEST_FPERIOD_OVERRIDE=FQ","FILING_STATUS=MR","SCALING_FORMAT=MLN","Sort=A","Dates=H","DateFormat=P","Fill=—","Direction=H","UseDPDF=Y")</f>
        <v>0</v>
      </c>
      <c r="O42" s="13">
        <f>_xll.BDH("ALNY US Equity","OTHER_ADJUSTMENTS","FQ1 2022","FQ1 2022","Currency=USD","Period=FQ","BEST_FPERIOD_OVERRIDE=FQ","FILING_STATUS=MR","SCALING_FORMAT=MLN","Sort=A","Dates=H","DateFormat=P","Fill=—","Direction=H","UseDPDF=Y")</f>
        <v>0</v>
      </c>
      <c r="P42" s="13">
        <f>_xll.BDH("ALNY US Equity","OTHER_ADJUSTMENTS","FQ2 2022","FQ2 2022","Currency=USD","Period=FQ","BEST_FPERIOD_OVERRIDE=FQ","FILING_STATUS=MR","SCALING_FORMAT=MLN","Sort=A","Dates=H","DateFormat=P","Fill=—","Direction=H","UseDPDF=Y")</f>
        <v>0</v>
      </c>
      <c r="Q42" s="13">
        <f>_xll.BDH("ALNY US Equity","OTHER_ADJUSTMENTS","FQ3 2022","FQ3 2022","Currency=USD","Period=FQ","BEST_FPERIOD_OVERRIDE=FQ","FILING_STATUS=MR","SCALING_FORMAT=MLN","Sort=A","Dates=H","DateFormat=P","Fill=—","Direction=H","UseDPDF=Y")</f>
        <v>0</v>
      </c>
      <c r="R42" s="13">
        <f>_xll.BDH("ALNY US Equity","OTHER_ADJUSTMENTS","FQ4 2022","FQ4 2022","Currency=USD","Period=FQ","BEST_FPERIOD_OVERRIDE=FQ","FILING_STATUS=MR","SCALING_FORMAT=MLN","Sort=A","Dates=H","DateFormat=P","Fill=—","Direction=H","UseDPDF=Y")</f>
        <v>0</v>
      </c>
      <c r="S42" s="13">
        <f>_xll.BDH("ALNY US Equity","OTHER_ADJUSTMENTS","FQ1 2023","FQ1 2023","Currency=USD","Period=FQ","BEST_FPERIOD_OVERRIDE=FQ","FILING_STATUS=MR","SCALING_FORMAT=MLN","Sort=A","Dates=H","DateFormat=P","Fill=—","Direction=H","UseDPDF=Y")</f>
        <v>0</v>
      </c>
      <c r="T42" s="13">
        <f>_xll.BDH("ALNY US Equity","OTHER_ADJUSTMENTS","FQ2 2023","FQ2 2023","Currency=USD","Period=FQ","BEST_FPERIOD_OVERRIDE=FQ","FILING_STATUS=MR","SCALING_FORMAT=MLN","Sort=A","Dates=H","DateFormat=P","Fill=—","Direction=H","UseDPDF=Y")</f>
        <v>0</v>
      </c>
      <c r="U42" s="13">
        <f>_xll.BDH("ALNY US Equity","OTHER_ADJUSTMENTS","FQ3 2023","FQ3 2023","Currency=USD","Period=FQ","BEST_FPERIOD_OVERRIDE=FQ","FILING_STATUS=MR","SCALING_FORMAT=MLN","Sort=A","Dates=H","DateFormat=P","Fill=—","Direction=H","UseDPDF=Y")</f>
        <v>0</v>
      </c>
      <c r="V42" s="13">
        <f>_xll.BDH("ALNY US Equity","OTHER_ADJUSTMENTS","FQ4 2023","FQ4 2023","Currency=USD","Period=FQ","BEST_FPERIOD_OVERRIDE=FQ","FILING_STATUS=MR","SCALING_FORMAT=MLN","Sort=A","Dates=H","DateFormat=P","Fill=—","Direction=H","UseDPDF=Y")</f>
        <v>0</v>
      </c>
      <c r="W42" s="13">
        <f>_xll.BDH("ALNY US Equity","OTHER_ADJUSTMENTS","FQ1 2024","FQ1 2024","Currency=USD","Period=FQ","BEST_FPERIOD_OVERRIDE=FQ","FILING_STATUS=MR","SCALING_FORMAT=MLN","Sort=A","Dates=H","DateFormat=P","Fill=—","Direction=H","UseDPDF=Y")</f>
        <v>0</v>
      </c>
      <c r="X42" s="13">
        <f>_xll.BDH("ALNY US Equity","OTHER_ADJUSTMENTS","FQ2 2024","FQ2 2024","Currency=USD","Period=FQ","BEST_FPERIOD_OVERRIDE=FQ","FILING_STATUS=MR","SCALING_FORMAT=MLN","Sort=A","Dates=H","DateFormat=P","Fill=—","Direction=H","UseDPDF=Y")</f>
        <v>0</v>
      </c>
      <c r="Y42" s="13">
        <f>_xll.BDH("ALNY US Equity","OTHER_ADJUSTMENTS","FQ3 2024","FQ3 2024","Currency=USD","Period=FQ","BEST_FPERIOD_OVERRIDE=FQ","FILING_STATUS=MR","SCALING_FORMAT=MLN","Sort=A","Dates=H","DateFormat=P","Fill=—","Direction=H","UseDPDF=Y")</f>
        <v>0</v>
      </c>
      <c r="Z42" s="13">
        <f>_xll.BDH("ALNY US Equity","OTHER_ADJUSTMENTS","FQ4 2024","FQ4 2024","Currency=USD","Period=FQ","BEST_FPERIOD_OVERRIDE=FQ","FILING_STATUS=MR","SCALING_FORMAT=MLN","Sort=A","Dates=H","DateFormat=P","Fill=—","Direction=H","UseDPDF=Y")</f>
        <v>0</v>
      </c>
    </row>
    <row r="43" spans="1:26" x14ac:dyDescent="0.25">
      <c r="A43" s="6" t="s">
        <v>126</v>
      </c>
      <c r="B43" s="6" t="s">
        <v>127</v>
      </c>
      <c r="C43" s="16">
        <f>_xll.BDH("ALNY US Equity","EARN_FOR_COMMON","FQ1 2019","FQ1 2019","Currency=USD","Period=FQ","BEST_FPERIOD_OVERRIDE=FQ","FILING_STATUS=MR","SCALING_FORMAT=MLN","FA_ADJUSTED=GAAP","Sort=A","Dates=H","DateFormat=P","Fill=—","Direction=H","UseDPDF=Y")</f>
        <v>-181.91499999999999</v>
      </c>
      <c r="D43" s="16">
        <f>_xll.BDH("ALNY US Equity","EARN_FOR_COMMON","FQ2 2019","FQ2 2019","Currency=USD","Period=FQ","BEST_FPERIOD_OVERRIDE=FQ","FILING_STATUS=MR","SCALING_FORMAT=MLN","FA_ADJUSTED=GAAP","Sort=A","Dates=H","DateFormat=P","Fill=—","Direction=H","UseDPDF=Y")</f>
        <v>-219.48099999999999</v>
      </c>
      <c r="E43" s="16">
        <f>_xll.BDH("ALNY US Equity","EARN_FOR_COMMON","FQ3 2019","FQ3 2019","Currency=USD","Period=FQ","BEST_FPERIOD_OVERRIDE=FQ","FILING_STATUS=MR","SCALING_FORMAT=MLN","FA_ADJUSTED=GAAP","Sort=A","Dates=H","DateFormat=P","Fill=—","Direction=H","UseDPDF=Y")</f>
        <v>-208.535</v>
      </c>
      <c r="F43" s="16">
        <f>_xll.BDH("ALNY US Equity","EARN_FOR_COMMON","FQ4 2019","FQ4 2019","Currency=USD","Period=FQ","BEST_FPERIOD_OVERRIDE=FQ","FILING_STATUS=MR","SCALING_FORMAT=MLN","FA_ADJUSTED=GAAP","Sort=A","Dates=H","DateFormat=P","Fill=—","Direction=H","UseDPDF=Y")</f>
        <v>-276.185</v>
      </c>
      <c r="G43" s="16">
        <f>_xll.BDH("ALNY US Equity","EARN_FOR_COMMON","FQ1 2020","FQ1 2020","Currency=USD","Period=FQ","BEST_FPERIOD_OVERRIDE=FQ","FILING_STATUS=MR","SCALING_FORMAT=MLN","FA_ADJUSTED=GAAP","Sort=A","Dates=H","DateFormat=P","Fill=—","Direction=H","UseDPDF=Y")</f>
        <v>-182.221</v>
      </c>
      <c r="H43" s="16">
        <f>_xll.BDH("ALNY US Equity","EARN_FOR_COMMON","FQ2 2020","FQ2 2020","Currency=USD","Period=FQ","BEST_FPERIOD_OVERRIDE=FQ","FILING_STATUS=MR","SCALING_FORMAT=MLN","FA_ADJUSTED=GAAP","Sort=A","Dates=H","DateFormat=P","Fill=—","Direction=H","UseDPDF=Y")</f>
        <v>-179.22900000000001</v>
      </c>
      <c r="I43" s="16">
        <f>_xll.BDH("ALNY US Equity","EARN_FOR_COMMON","FQ3 2020","FQ3 2020","Currency=USD","Period=FQ","BEST_FPERIOD_OVERRIDE=FQ","FILING_STATUS=MR","SCALING_FORMAT=MLN","FA_ADJUSTED=GAAP","Sort=A","Dates=H","DateFormat=P","Fill=—","Direction=H","UseDPDF=Y")</f>
        <v>-253.291</v>
      </c>
      <c r="J43" s="16">
        <f>_xll.BDH("ALNY US Equity","EARN_FOR_COMMON","FQ4 2020","FQ4 2020","Currency=USD","Period=FQ","BEST_FPERIOD_OVERRIDE=FQ","FILING_STATUS=MR","SCALING_FORMAT=MLN","FA_ADJUSTED=GAAP","Sort=A","Dates=H","DateFormat=P","Fill=—","Direction=H","UseDPDF=Y")</f>
        <v>-243.54</v>
      </c>
      <c r="K43" s="16">
        <f>_xll.BDH("ALNY US Equity","EARN_FOR_COMMON","FQ1 2021","FQ1 2021","Currency=USD","Period=FQ","BEST_FPERIOD_OVERRIDE=FQ","FILING_STATUS=MR","SCALING_FORMAT=MLN","FA_ADJUSTED=GAAP","Sort=A","Dates=H","DateFormat=P","Fill=—","Direction=H","UseDPDF=Y")</f>
        <v>-200.291</v>
      </c>
      <c r="L43" s="16">
        <f>_xll.BDH("ALNY US Equity","EARN_FOR_COMMON","FQ2 2021","FQ2 2021","Currency=USD","Period=FQ","BEST_FPERIOD_OVERRIDE=FQ","FILING_STATUS=MR","SCALING_FORMAT=MLN","FA_ADJUSTED=GAAP","Sort=A","Dates=H","DateFormat=P","Fill=—","Direction=H","UseDPDF=Y")</f>
        <v>-189.559</v>
      </c>
      <c r="M43" s="16">
        <f>_xll.BDH("ALNY US Equity","EARN_FOR_COMMON","FQ3 2021","FQ3 2021","Currency=USD","Period=FQ","BEST_FPERIOD_OVERRIDE=FQ","FILING_STATUS=MR","SCALING_FORMAT=MLN","FA_ADJUSTED=GAAP","Sort=A","Dates=H","DateFormat=P","Fill=—","Direction=H","UseDPDF=Y")</f>
        <v>-204.51400000000001</v>
      </c>
      <c r="N43" s="16">
        <f>_xll.BDH("ALNY US Equity","EARN_FOR_COMMON","FQ4 2021","FQ4 2021","Currency=USD","Period=FQ","BEST_FPERIOD_OVERRIDE=FQ","FILING_STATUS=MR","SCALING_FORMAT=MLN","FA_ADJUSTED=GAAP","Sort=A","Dates=H","DateFormat=P","Fill=—","Direction=H","UseDPDF=Y")</f>
        <v>-258.45999999999998</v>
      </c>
      <c r="O43" s="16">
        <f>_xll.BDH("ALNY US Equity","EARN_FOR_COMMON","FQ1 2022","FQ1 2022","Currency=USD","Period=FQ","BEST_FPERIOD_OVERRIDE=FQ","FILING_STATUS=MR","SCALING_FORMAT=MLN","FA_ADJUSTED=GAAP","Sort=A","Dates=H","DateFormat=P","Fill=—","Direction=H","UseDPDF=Y")</f>
        <v>-240.34100000000001</v>
      </c>
      <c r="P43" s="16">
        <f>_xll.BDH("ALNY US Equity","EARN_FOR_COMMON","FQ2 2022","FQ2 2022","Currency=USD","Period=FQ","BEST_FPERIOD_OVERRIDE=FQ","FILING_STATUS=MR","SCALING_FORMAT=MLN","FA_ADJUSTED=GAAP","Sort=A","Dates=H","DateFormat=P","Fill=—","Direction=H","UseDPDF=Y")</f>
        <v>-277.40199999999999</v>
      </c>
      <c r="Q43" s="16">
        <f>_xll.BDH("ALNY US Equity","EARN_FOR_COMMON","FQ3 2022","FQ3 2022","Currency=USD","Period=FQ","BEST_FPERIOD_OVERRIDE=FQ","FILING_STATUS=MR","SCALING_FORMAT=MLN","FA_ADJUSTED=GAAP","Sort=A","Dates=H","DateFormat=P","Fill=—","Direction=H","UseDPDF=Y")</f>
        <v>-405.92</v>
      </c>
      <c r="R43" s="16">
        <f>_xll.BDH("ALNY US Equity","EARN_FOR_COMMON","FQ4 2022","FQ4 2022","Currency=USD","Period=FQ","BEST_FPERIOD_OVERRIDE=FQ","FILING_STATUS=MR","SCALING_FORMAT=MLN","FA_ADJUSTED=GAAP","Sort=A","Dates=H","DateFormat=P","Fill=—","Direction=H","UseDPDF=Y")</f>
        <v>-207.49299999999999</v>
      </c>
      <c r="S43" s="16">
        <f>_xll.BDH("ALNY US Equity","EARN_FOR_COMMON","FQ1 2023","FQ1 2023","Currency=USD","Period=FQ","BEST_FPERIOD_OVERRIDE=FQ","FILING_STATUS=MR","SCALING_FORMAT=MLN","FA_ADJUSTED=GAAP","Sort=A","Dates=H","DateFormat=P","Fill=—","Direction=H","UseDPDF=Y")</f>
        <v>-174.101</v>
      </c>
      <c r="T43" s="16">
        <f>_xll.BDH("ALNY US Equity","EARN_FOR_COMMON","FQ2 2023","FQ2 2023","Currency=USD","Period=FQ","BEST_FPERIOD_OVERRIDE=FQ","FILING_STATUS=MR","SCALING_FORMAT=MLN","FA_ADJUSTED=GAAP","Sort=A","Dates=H","DateFormat=P","Fill=—","Direction=H","UseDPDF=Y")</f>
        <v>-276.024</v>
      </c>
      <c r="U43" s="16">
        <f>_xll.BDH("ALNY US Equity","EARN_FOR_COMMON","FQ3 2023","FQ3 2023","Currency=USD","Period=FQ","BEST_FPERIOD_OVERRIDE=FQ","FILING_STATUS=MR","SCALING_FORMAT=MLN","FA_ADJUSTED=GAAP","Sort=A","Dates=H","DateFormat=P","Fill=—","Direction=H","UseDPDF=Y")</f>
        <v>147.75299999999999</v>
      </c>
      <c r="V43" s="16">
        <f>_xll.BDH("ALNY US Equity","EARN_FOR_COMMON","FQ4 2023","FQ4 2023","Currency=USD","Period=FQ","BEST_FPERIOD_OVERRIDE=FQ","FILING_STATUS=MR","SCALING_FORMAT=MLN","FA_ADJUSTED=GAAP","Sort=A","Dates=H","DateFormat=P","Fill=—","Direction=H","UseDPDF=Y")</f>
        <v>-137.87</v>
      </c>
      <c r="W43" s="16">
        <f>_xll.BDH("ALNY US Equity","EARN_FOR_COMMON","FQ1 2024","FQ1 2024","Currency=USD","Period=FQ","BEST_FPERIOD_OVERRIDE=FQ","FILING_STATUS=MR","SCALING_FORMAT=MLN","FA_ADJUSTED=GAAP","Sort=A","Dates=H","DateFormat=P","Fill=—","Direction=H","UseDPDF=Y")</f>
        <v>-65.935000000000002</v>
      </c>
      <c r="X43" s="16">
        <f>_xll.BDH("ALNY US Equity","EARN_FOR_COMMON","FQ2 2024","FQ2 2024","Currency=USD","Period=FQ","BEST_FPERIOD_OVERRIDE=FQ","FILING_STATUS=MR","SCALING_FORMAT=MLN","FA_ADJUSTED=GAAP","Sort=A","Dates=H","DateFormat=P","Fill=—","Direction=H","UseDPDF=Y")</f>
        <v>-16.888999999999999</v>
      </c>
      <c r="Y43" s="16">
        <f>_xll.BDH("ALNY US Equity","EARN_FOR_COMMON","FQ3 2024","FQ3 2024","Currency=USD","Period=FQ","BEST_FPERIOD_OVERRIDE=FQ","FILING_STATUS=MR","SCALING_FORMAT=MLN","FA_ADJUSTED=GAAP","Sort=A","Dates=H","DateFormat=P","Fill=—","Direction=H","UseDPDF=Y")</f>
        <v>-111.57</v>
      </c>
      <c r="Z43" s="16">
        <f>_xll.BDH("ALNY US Equity","EARN_FOR_COMMON","FQ4 2024","FQ4 2024","Currency=USD","Period=FQ","BEST_FPERIOD_OVERRIDE=FQ","FILING_STATUS=MR","SCALING_FORMAT=MLN","FA_ADJUSTED=GAAP","Sort=A","Dates=H","DateFormat=P","Fill=—","Direction=H","UseDPDF=Y")</f>
        <v>-83.763000000000005</v>
      </c>
    </row>
    <row r="44" spans="1:26" x14ac:dyDescent="0.25">
      <c r="A44" s="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6" t="s">
        <v>128</v>
      </c>
      <c r="B45" s="6" t="s">
        <v>127</v>
      </c>
      <c r="C45" s="16">
        <f>_xll.BDH("ALNY US Equity","EARN_FOR_COMMON","FQ1 2019","FQ1 2019","Currency=USD","Period=FQ","BEST_FPERIOD_OVERRIDE=FQ","FILING_STATUS=MR","SCALING_FORMAT=MLN","FA_ADJUSTED=Adjusted","Sort=A","Dates=H","DateFormat=P","Fill=—","Direction=H","UseDPDF=Y")</f>
        <v>-181.91499999999999</v>
      </c>
      <c r="D45" s="16">
        <f>_xll.BDH("ALNY US Equity","EARN_FOR_COMMON","FQ2 2019","FQ2 2019","Currency=USD","Period=FQ","BEST_FPERIOD_OVERRIDE=FQ","FILING_STATUS=MR","SCALING_FORMAT=MLN","FA_ADJUSTED=Adjusted","Sort=A","Dates=H","DateFormat=P","Fill=—","Direction=H","UseDPDF=Y")</f>
        <v>-228.90299999999999</v>
      </c>
      <c r="E45" s="16">
        <f>_xll.BDH("ALNY US Equity","EARN_FOR_COMMON","FQ3 2019","FQ3 2019","Currency=USD","Period=FQ","BEST_FPERIOD_OVERRIDE=FQ","FILING_STATUS=MR","SCALING_FORMAT=MLN","FA_ADJUSTED=Adjusted","Sort=A","Dates=H","DateFormat=P","Fill=—","Direction=H","UseDPDF=Y")</f>
        <v>-208.535</v>
      </c>
      <c r="F45" s="16">
        <f>_xll.BDH("ALNY US Equity","EARN_FOR_COMMON","FQ4 2019","FQ4 2019","Currency=USD","Period=FQ","BEST_FPERIOD_OVERRIDE=FQ","FILING_STATUS=MR","SCALING_FORMAT=MLN","FA_ADJUSTED=Adjusted","Sort=A","Dates=H","DateFormat=P","Fill=—","Direction=H","UseDPDF=Y")</f>
        <v>-287.452</v>
      </c>
      <c r="G45" s="16">
        <f>_xll.BDH("ALNY US Equity","EARN_FOR_COMMON","FQ1 2020","FQ1 2020","Currency=USD","Period=FQ","BEST_FPERIOD_OVERRIDE=FQ","FILING_STATUS=MR","SCALING_FORMAT=MLN","FA_ADJUSTED=Adjusted","Sort=A","Dates=H","DateFormat=P","Fill=—","Direction=H","UseDPDF=Y")</f>
        <v>-206.33199999999999</v>
      </c>
      <c r="H45" s="16">
        <f>_xll.BDH("ALNY US Equity","EARN_FOR_COMMON","FQ2 2020","FQ2 2020","Currency=USD","Period=FQ","BEST_FPERIOD_OVERRIDE=FQ","FILING_STATUS=MR","SCALING_FORMAT=MLN","FA_ADJUSTED=Adjusted","Sort=A","Dates=H","DateFormat=P","Fill=—","Direction=H","UseDPDF=Y")</f>
        <v>-225.083</v>
      </c>
      <c r="I45" s="16">
        <f>_xll.BDH("ALNY US Equity","EARN_FOR_COMMON","FQ3 2020","FQ3 2020","Currency=USD","Period=FQ","BEST_FPERIOD_OVERRIDE=FQ","FILING_STATUS=MR","SCALING_FORMAT=MLN","FA_ADJUSTED=Adjusted","Sort=A","Dates=H","DateFormat=P","Fill=—","Direction=H","UseDPDF=Y")</f>
        <v>-220.86099999999999</v>
      </c>
      <c r="J45" s="16">
        <f>_xll.BDH("ALNY US Equity","EARN_FOR_COMMON","FQ4 2020","FQ4 2020","Currency=USD","Period=FQ","BEST_FPERIOD_OVERRIDE=FQ","FILING_STATUS=MR","SCALING_FORMAT=MLN","FA_ADJUSTED=Adjusted","Sort=A","Dates=H","DateFormat=P","Fill=—","Direction=H","UseDPDF=Y")</f>
        <v>-220.74</v>
      </c>
      <c r="K45" s="16">
        <f>_xll.BDH("ALNY US Equity","EARN_FOR_COMMON","FQ1 2021","FQ1 2021","Currency=USD","Period=FQ","BEST_FPERIOD_OVERRIDE=FQ","FILING_STATUS=MR","SCALING_FORMAT=MLN","FA_ADJUSTED=Adjusted","Sort=A","Dates=H","DateFormat=P","Fill=—","Direction=H","UseDPDF=Y")</f>
        <v>-247.30699999999999</v>
      </c>
      <c r="L45" s="16">
        <f>_xll.BDH("ALNY US Equity","EARN_FOR_COMMON","FQ2 2021","FQ2 2021","Currency=USD","Period=FQ","BEST_FPERIOD_OVERRIDE=FQ","FILING_STATUS=MR","SCALING_FORMAT=MLN","FA_ADJUSTED=Adjusted","Sort=A","Dates=H","DateFormat=P","Fill=—","Direction=H","UseDPDF=Y")</f>
        <v>-185.125</v>
      </c>
      <c r="M45" s="16">
        <f>_xll.BDH("ALNY US Equity","EARN_FOR_COMMON","FQ3 2021","FQ3 2021","Currency=USD","Period=FQ","BEST_FPERIOD_OVERRIDE=FQ","FILING_STATUS=MR","SCALING_FORMAT=MLN","FA_ADJUSTED=Adjusted","Sort=A","Dates=H","DateFormat=P","Fill=—","Direction=H","UseDPDF=Y")</f>
        <v>-213.20500000000001</v>
      </c>
      <c r="N45" s="16">
        <f>_xll.BDH("ALNY US Equity","EARN_FOR_COMMON","FQ4 2021","FQ4 2021","Currency=USD","Period=FQ","BEST_FPERIOD_OVERRIDE=FQ","FILING_STATUS=MR","SCALING_FORMAT=MLN","FA_ADJUSTED=Adjusted","Sort=A","Dates=H","DateFormat=P","Fill=—","Direction=H","UseDPDF=Y")</f>
        <v>-252.88200000000001</v>
      </c>
      <c r="O45" s="16">
        <f>_xll.BDH("ALNY US Equity","EARN_FOR_COMMON","FQ1 2022","FQ1 2022","Currency=USD","Period=FQ","BEST_FPERIOD_OVERRIDE=FQ","FILING_STATUS=MR","SCALING_FORMAT=MLN","FA_ADJUSTED=Adjusted","Sort=A","Dates=H","DateFormat=P","Fill=—","Direction=H","UseDPDF=Y")</f>
        <v>-209.18</v>
      </c>
      <c r="P45" s="16">
        <f>_xll.BDH("ALNY US Equity","EARN_FOR_COMMON","FQ2 2022","FQ2 2022","Currency=USD","Period=FQ","BEST_FPERIOD_OVERRIDE=FQ","FILING_STATUS=MR","SCALING_FORMAT=MLN","FA_ADJUSTED=Adjusted","Sort=A","Dates=H","DateFormat=P","Fill=—","Direction=H","UseDPDF=Y")</f>
        <v>-276.30500000000001</v>
      </c>
      <c r="Q45" s="16">
        <f>_xll.BDH("ALNY US Equity","EARN_FOR_COMMON","FQ3 2022","FQ3 2022","Currency=USD","Period=FQ","BEST_FPERIOD_OVERRIDE=FQ","FILING_STATUS=MR","SCALING_FORMAT=MLN","FA_ADJUSTED=Adjusted","Sort=A","Dates=H","DateFormat=P","Fill=—","Direction=H","UseDPDF=Y")</f>
        <v>-321.48399999999998</v>
      </c>
      <c r="R45" s="16">
        <f>_xll.BDH("ALNY US Equity","EARN_FOR_COMMON","FQ4 2022","FQ4 2022","Currency=USD","Period=FQ","BEST_FPERIOD_OVERRIDE=FQ","FILING_STATUS=MR","SCALING_FORMAT=MLN","FA_ADJUSTED=Adjusted","Sort=A","Dates=H","DateFormat=P","Fill=—","Direction=H","UseDPDF=Y")</f>
        <v>-214.28899999999999</v>
      </c>
      <c r="S45" s="16">
        <f>_xll.BDH("ALNY US Equity","EARN_FOR_COMMON","FQ1 2023","FQ1 2023","Currency=USD","Period=FQ","BEST_FPERIOD_OVERRIDE=FQ","FILING_STATUS=MR","SCALING_FORMAT=MLN","FA_ADJUSTED=Adjusted","Sort=A","Dates=H","DateFormat=P","Fill=—","Direction=H","UseDPDF=Y")</f>
        <v>-171.834</v>
      </c>
      <c r="T45" s="16">
        <f>_xll.BDH("ALNY US Equity","EARN_FOR_COMMON","FQ2 2023","FQ2 2023","Currency=USD","Period=FQ","BEST_FPERIOD_OVERRIDE=FQ","FILING_STATUS=MR","SCALING_FORMAT=MLN","FA_ADJUSTED=Adjusted","Sort=A","Dates=H","DateFormat=P","Fill=—","Direction=H","UseDPDF=Y")</f>
        <v>-277.42399999999998</v>
      </c>
      <c r="U45" s="16">
        <f>_xll.BDH("ALNY US Equity","EARN_FOR_COMMON","FQ3 2023","FQ3 2023","Currency=USD","Period=FQ","BEST_FPERIOD_OVERRIDE=FQ","FILING_STATUS=MR","SCALING_FORMAT=MLN","FA_ADJUSTED=Adjusted","Sort=A","Dates=H","DateFormat=P","Fill=—","Direction=H","UseDPDF=Y")</f>
        <v>164.59700000000001</v>
      </c>
      <c r="V45" s="16">
        <f>_xll.BDH("ALNY US Equity","EARN_FOR_COMMON","FQ4 2023","FQ4 2023","Currency=USD","Period=FQ","BEST_FPERIOD_OVERRIDE=FQ","FILING_STATUS=MR","SCALING_FORMAT=MLN","FA_ADJUSTED=Adjusted","Sort=A","Dates=H","DateFormat=P","Fill=—","Direction=H","UseDPDF=Y")</f>
        <v>-138.637</v>
      </c>
      <c r="W45" s="16">
        <f>_xll.BDH("ALNY US Equity","EARN_FOR_COMMON","FQ1 2024","FQ1 2024","Currency=USD","Period=FQ","BEST_FPERIOD_OVERRIDE=FQ","FILING_STATUS=MR","SCALING_FORMAT=MLN","FA_ADJUSTED=Adjusted","Sort=A","Dates=H","DateFormat=P","Fill=—","Direction=H","UseDPDF=Y")</f>
        <v>-66.013000000000005</v>
      </c>
      <c r="X45" s="16">
        <f>_xll.BDH("ALNY US Equity","EARN_FOR_COMMON","FQ2 2024","FQ2 2024","Currency=USD","Period=FQ","BEST_FPERIOD_OVERRIDE=FQ","FILING_STATUS=MR","SCALING_FORMAT=MLN","FA_ADJUSTED=Adjusted","Sort=A","Dates=H","DateFormat=P","Fill=—","Direction=H","UseDPDF=Y")</f>
        <v>-15.522</v>
      </c>
      <c r="Y45" s="16">
        <f>_xll.BDH("ALNY US Equity","EARN_FOR_COMMON","FQ3 2024","FQ3 2024","Currency=USD","Period=FQ","BEST_FPERIOD_OVERRIDE=FQ","FILING_STATUS=MR","SCALING_FORMAT=MLN","FA_ADJUSTED=Adjusted","Sort=A","Dates=H","DateFormat=P","Fill=—","Direction=H","UseDPDF=Y")</f>
        <v>-110.003</v>
      </c>
      <c r="Z45" s="16">
        <f>_xll.BDH("ALNY US Equity","EARN_FOR_COMMON","FQ4 2024","FQ4 2024","Currency=USD","Period=FQ","BEST_FPERIOD_OVERRIDE=FQ","FILING_STATUS=MR","SCALING_FORMAT=MLN","FA_ADJUSTED=Adjusted","Sort=A","Dates=H","DateFormat=P","Fill=—","Direction=H","UseDPDF=Y")</f>
        <v>-83.596999999999994</v>
      </c>
    </row>
    <row r="46" spans="1:26" x14ac:dyDescent="0.25">
      <c r="A46" s="10" t="s">
        <v>129</v>
      </c>
      <c r="B46" s="10" t="s">
        <v>130</v>
      </c>
      <c r="C46" s="13">
        <f>_xll.BDH("ALNY US Equity","IS_NET_ABNORMAL_ITEMS","FQ1 2019","FQ1 2019","Currency=USD","Period=FQ","BEST_FPERIOD_OVERRIDE=FQ","FILING_STATUS=MR","SCALING_FORMAT=MLN","Sort=A","Dates=H","DateFormat=P","Fill=—","Direction=H","UseDPDF=Y")</f>
        <v>0</v>
      </c>
      <c r="D46" s="13">
        <f>_xll.BDH("ALNY US Equity","IS_NET_ABNORMAL_ITEMS","FQ2 2019","FQ2 2019","Currency=USD","Period=FQ","BEST_FPERIOD_OVERRIDE=FQ","FILING_STATUS=MR","SCALING_FORMAT=MLN","Sort=A","Dates=H","DateFormat=P","Fill=—","Direction=H","UseDPDF=Y")</f>
        <v>-9.4220000000000006</v>
      </c>
      <c r="E46" s="13">
        <f>_xll.BDH("ALNY US Equity","IS_NET_ABNORMAL_ITEMS","FQ3 2019","FQ3 2019","Currency=USD","Period=FQ","BEST_FPERIOD_OVERRIDE=FQ","FILING_STATUS=MR","SCALING_FORMAT=MLN","Sort=A","Dates=H","DateFormat=P","Fill=—","Direction=H","UseDPDF=Y")</f>
        <v>0</v>
      </c>
      <c r="F46" s="13">
        <f>_xll.BDH("ALNY US Equity","IS_NET_ABNORMAL_ITEMS","FQ4 2019","FQ4 2019","Currency=USD","Period=FQ","BEST_FPERIOD_OVERRIDE=FQ","FILING_STATUS=MR","SCALING_FORMAT=MLN","Sort=A","Dates=H","DateFormat=P","Fill=—","Direction=H","UseDPDF=Y")</f>
        <v>-11.266999999999999</v>
      </c>
      <c r="G46" s="13">
        <f>_xll.BDH("ALNY US Equity","IS_NET_ABNORMAL_ITEMS","FQ1 2020","FQ1 2020","Currency=USD","Period=FQ","BEST_FPERIOD_OVERRIDE=FQ","FILING_STATUS=MR","SCALING_FORMAT=MLN","Sort=A","Dates=H","DateFormat=P","Fill=—","Direction=H","UseDPDF=Y")</f>
        <v>-24.111000000000001</v>
      </c>
      <c r="H46" s="13">
        <f>_xll.BDH("ALNY US Equity","IS_NET_ABNORMAL_ITEMS","FQ2 2020","FQ2 2020","Currency=USD","Period=FQ","BEST_FPERIOD_OVERRIDE=FQ","FILING_STATUS=MR","SCALING_FORMAT=MLN","Sort=A","Dates=H","DateFormat=P","Fill=—","Direction=H","UseDPDF=Y")</f>
        <v>-45.853999999999999</v>
      </c>
      <c r="I46" s="13">
        <f>_xll.BDH("ALNY US Equity","IS_NET_ABNORMAL_ITEMS","FQ3 2020","FQ3 2020","Currency=USD","Period=FQ","BEST_FPERIOD_OVERRIDE=FQ","FILING_STATUS=MR","SCALING_FORMAT=MLN","Sort=A","Dates=H","DateFormat=P","Fill=—","Direction=H","UseDPDF=Y")</f>
        <v>32.43</v>
      </c>
      <c r="J46" s="13">
        <f>_xll.BDH("ALNY US Equity","IS_NET_ABNORMAL_ITEMS","FQ4 2020","FQ4 2020","Currency=USD","Period=FQ","BEST_FPERIOD_OVERRIDE=FQ","FILING_STATUS=MR","SCALING_FORMAT=MLN","Sort=A","Dates=H","DateFormat=P","Fill=—","Direction=H","UseDPDF=Y")</f>
        <v>22.8</v>
      </c>
      <c r="K46" s="13">
        <f>_xll.BDH("ALNY US Equity","IS_NET_ABNORMAL_ITEMS","FQ1 2021","FQ1 2021","Currency=USD","Period=FQ","BEST_FPERIOD_OVERRIDE=FQ","FILING_STATUS=MR","SCALING_FORMAT=MLN","Sort=A","Dates=H","DateFormat=P","Fill=—","Direction=H","UseDPDF=Y")</f>
        <v>-47.015999999999998</v>
      </c>
      <c r="L46" s="13">
        <f>_xll.BDH("ALNY US Equity","IS_NET_ABNORMAL_ITEMS","FQ2 2021","FQ2 2021","Currency=USD","Period=FQ","BEST_FPERIOD_OVERRIDE=FQ","FILING_STATUS=MR","SCALING_FORMAT=MLN","Sort=A","Dates=H","DateFormat=P","Fill=—","Direction=H","UseDPDF=Y")</f>
        <v>4.4340000000000002</v>
      </c>
      <c r="M46" s="13">
        <f>_xll.BDH("ALNY US Equity","IS_NET_ABNORMAL_ITEMS","FQ3 2021","FQ3 2021","Currency=USD","Period=FQ","BEST_FPERIOD_OVERRIDE=FQ","FILING_STATUS=MR","SCALING_FORMAT=MLN","Sort=A","Dates=H","DateFormat=P","Fill=—","Direction=H","UseDPDF=Y")</f>
        <v>-8.6910000000000007</v>
      </c>
      <c r="N46" s="13">
        <f>_xll.BDH("ALNY US Equity","IS_NET_ABNORMAL_ITEMS","FQ4 2021","FQ4 2021","Currency=USD","Period=FQ","BEST_FPERIOD_OVERRIDE=FQ","FILING_STATUS=MR","SCALING_FORMAT=MLN","Sort=A","Dates=H","DateFormat=P","Fill=—","Direction=H","UseDPDF=Y")</f>
        <v>5.5780000000000003</v>
      </c>
      <c r="O46" s="13">
        <f>_xll.BDH("ALNY US Equity","IS_NET_ABNORMAL_ITEMS","FQ1 2022","FQ1 2022","Currency=USD","Period=FQ","BEST_FPERIOD_OVERRIDE=FQ","FILING_STATUS=MR","SCALING_FORMAT=MLN","Sort=A","Dates=H","DateFormat=P","Fill=—","Direction=H","UseDPDF=Y")</f>
        <v>31.161000000000001</v>
      </c>
      <c r="P46" s="13">
        <f>_xll.BDH("ALNY US Equity","IS_NET_ABNORMAL_ITEMS","FQ2 2022","FQ2 2022","Currency=USD","Period=FQ","BEST_FPERIOD_OVERRIDE=FQ","FILING_STATUS=MR","SCALING_FORMAT=MLN","Sort=A","Dates=H","DateFormat=P","Fill=—","Direction=H","UseDPDF=Y")</f>
        <v>1.097</v>
      </c>
      <c r="Q46" s="13">
        <f>_xll.BDH("ALNY US Equity","IS_NET_ABNORMAL_ITEMS","FQ3 2022","FQ3 2022","Currency=USD","Period=FQ","BEST_FPERIOD_OVERRIDE=FQ","FILING_STATUS=MR","SCALING_FORMAT=MLN","Sort=A","Dates=H","DateFormat=P","Fill=—","Direction=H","UseDPDF=Y")</f>
        <v>84.436000000000007</v>
      </c>
      <c r="R46" s="13">
        <f>_xll.BDH("ALNY US Equity","IS_NET_ABNORMAL_ITEMS","FQ4 2022","FQ4 2022","Currency=USD","Period=FQ","BEST_FPERIOD_OVERRIDE=FQ","FILING_STATUS=MR","SCALING_FORMAT=MLN","Sort=A","Dates=H","DateFormat=P","Fill=—","Direction=H","UseDPDF=Y")</f>
        <v>-6.7960000000000003</v>
      </c>
      <c r="S46" s="13">
        <f>_xll.BDH("ALNY US Equity","IS_NET_ABNORMAL_ITEMS","FQ1 2023","FQ1 2023","Currency=USD","Period=FQ","BEST_FPERIOD_OVERRIDE=FQ","FILING_STATUS=MR","SCALING_FORMAT=MLN","Sort=A","Dates=H","DateFormat=P","Fill=—","Direction=H","UseDPDF=Y")</f>
        <v>2.2669999999999999</v>
      </c>
      <c r="T46" s="13">
        <f>_xll.BDH("ALNY US Equity","IS_NET_ABNORMAL_ITEMS","FQ2 2023","FQ2 2023","Currency=USD","Period=FQ","BEST_FPERIOD_OVERRIDE=FQ","FILING_STATUS=MR","SCALING_FORMAT=MLN","Sort=A","Dates=H","DateFormat=P","Fill=—","Direction=H","UseDPDF=Y")</f>
        <v>-1.4</v>
      </c>
      <c r="U46" s="13">
        <f>_xll.BDH("ALNY US Equity","IS_NET_ABNORMAL_ITEMS","FQ3 2023","FQ3 2023","Currency=USD","Period=FQ","BEST_FPERIOD_OVERRIDE=FQ","FILING_STATUS=MR","SCALING_FORMAT=MLN","Sort=A","Dates=H","DateFormat=P","Fill=—","Direction=H","UseDPDF=Y")</f>
        <v>16.844000000000001</v>
      </c>
      <c r="V46" s="13">
        <f>_xll.BDH("ALNY US Equity","IS_NET_ABNORMAL_ITEMS","FQ4 2023","FQ4 2023","Currency=USD","Period=FQ","BEST_FPERIOD_OVERRIDE=FQ","FILING_STATUS=MR","SCALING_FORMAT=MLN","Sort=A","Dates=H","DateFormat=P","Fill=—","Direction=H","UseDPDF=Y")</f>
        <v>-0.76700000000000002</v>
      </c>
      <c r="W46" s="13">
        <f>_xll.BDH("ALNY US Equity","IS_NET_ABNORMAL_ITEMS","FQ1 2024","FQ1 2024","Currency=USD","Period=FQ","BEST_FPERIOD_OVERRIDE=FQ","FILING_STATUS=MR","SCALING_FORMAT=MLN","Sort=A","Dates=H","DateFormat=P","Fill=—","Direction=H","UseDPDF=Y")</f>
        <v>-7.8E-2</v>
      </c>
      <c r="X46" s="13">
        <f>_xll.BDH("ALNY US Equity","IS_NET_ABNORMAL_ITEMS","FQ2 2024","FQ2 2024","Currency=USD","Period=FQ","BEST_FPERIOD_OVERRIDE=FQ","FILING_STATUS=MR","SCALING_FORMAT=MLN","Sort=A","Dates=H","DateFormat=P","Fill=—","Direction=H","UseDPDF=Y")</f>
        <v>1.367</v>
      </c>
      <c r="Y46" s="13">
        <f>_xll.BDH("ALNY US Equity","IS_NET_ABNORMAL_ITEMS","FQ3 2024","FQ3 2024","Currency=USD","Period=FQ","BEST_FPERIOD_OVERRIDE=FQ","FILING_STATUS=MR","SCALING_FORMAT=MLN","Sort=A","Dates=H","DateFormat=P","Fill=—","Direction=H","UseDPDF=Y")</f>
        <v>1.5669999999999999</v>
      </c>
      <c r="Z46" s="13">
        <f>_xll.BDH("ALNY US Equity","IS_NET_ABNORMAL_ITEMS","FQ4 2024","FQ4 2024","Currency=USD","Period=FQ","BEST_FPERIOD_OVERRIDE=FQ","FILING_STATUS=MR","SCALING_FORMAT=MLN","Sort=A","Dates=H","DateFormat=P","Fill=—","Direction=H","UseDPDF=Y")</f>
        <v>0.16600000000000001</v>
      </c>
    </row>
    <row r="47" spans="1:26" x14ac:dyDescent="0.25">
      <c r="A47" s="10" t="s">
        <v>131</v>
      </c>
      <c r="B47" s="10" t="s">
        <v>111</v>
      </c>
      <c r="C47" s="13">
        <f>_xll.BDH("ALNY US Equity","XO_GL_NET_OF_TAX","FQ1 2019","FQ1 2019","Currency=USD","Period=FQ","BEST_FPERIOD_OVERRIDE=FQ","FILING_STATUS=MR","SCALING_FORMAT=MLN","Sort=A","Dates=H","DateFormat=P","Fill=—","Direction=H","UseDPDF=Y")</f>
        <v>0</v>
      </c>
      <c r="D47" s="13">
        <f>_xll.BDH("ALNY US Equity","XO_GL_NET_OF_TAX","FQ2 2019","FQ2 2019","Currency=USD","Period=FQ","BEST_FPERIOD_OVERRIDE=FQ","FILING_STATUS=MR","SCALING_FORMAT=MLN","Sort=A","Dates=H","DateFormat=P","Fill=—","Direction=H","UseDPDF=Y")</f>
        <v>0</v>
      </c>
      <c r="E47" s="13">
        <f>_xll.BDH("ALNY US Equity","XO_GL_NET_OF_TAX","FQ3 2019","FQ3 2019","Currency=USD","Period=FQ","BEST_FPERIOD_OVERRIDE=FQ","FILING_STATUS=MR","SCALING_FORMAT=MLN","Sort=A","Dates=H","DateFormat=P","Fill=—","Direction=H","UseDPDF=Y")</f>
        <v>0</v>
      </c>
      <c r="F47" s="13">
        <f>_xll.BDH("ALNY US Equity","XO_GL_NET_OF_TAX","FQ4 2019","FQ4 2019","Currency=USD","Period=FQ","BEST_FPERIOD_OVERRIDE=FQ","FILING_STATUS=MR","SCALING_FORMAT=MLN","Sort=A","Dates=H","DateFormat=P","Fill=—","Direction=H","UseDPDF=Y")</f>
        <v>0</v>
      </c>
      <c r="G47" s="13">
        <f>_xll.BDH("ALNY US Equity","XO_GL_NET_OF_TAX","FQ1 2020","FQ1 2020","Currency=USD","Period=FQ","BEST_FPERIOD_OVERRIDE=FQ","FILING_STATUS=MR","SCALING_FORMAT=MLN","Sort=A","Dates=H","DateFormat=P","Fill=—","Direction=H","UseDPDF=Y")</f>
        <v>0</v>
      </c>
      <c r="H47" s="13">
        <f>_xll.BDH("ALNY US Equity","XO_GL_NET_OF_TAX","FQ2 2020","FQ2 2020","Currency=USD","Period=FQ","BEST_FPERIOD_OVERRIDE=FQ","FILING_STATUS=MR","SCALING_FORMAT=MLN","Sort=A","Dates=H","DateFormat=P","Fill=—","Direction=H","UseDPDF=Y")</f>
        <v>0</v>
      </c>
      <c r="I47" s="13">
        <f>_xll.BDH("ALNY US Equity","XO_GL_NET_OF_TAX","FQ3 2020","FQ3 2020","Currency=USD","Period=FQ","BEST_FPERIOD_OVERRIDE=FQ","FILING_STATUS=MR","SCALING_FORMAT=MLN","Sort=A","Dates=H","DateFormat=P","Fill=—","Direction=H","UseDPDF=Y")</f>
        <v>0</v>
      </c>
      <c r="J47" s="13">
        <f>_xll.BDH("ALNY US Equity","XO_GL_NET_OF_TAX","FQ4 2020","FQ4 2020","Currency=USD","Period=FQ","BEST_FPERIOD_OVERRIDE=FQ","FILING_STATUS=MR","SCALING_FORMAT=MLN","Sort=A","Dates=H","DateFormat=P","Fill=—","Direction=H","UseDPDF=Y")</f>
        <v>0</v>
      </c>
      <c r="K47" s="13">
        <f>_xll.BDH("ALNY US Equity","XO_GL_NET_OF_TAX","FQ1 2021","FQ1 2021","Currency=USD","Period=FQ","BEST_FPERIOD_OVERRIDE=FQ","FILING_STATUS=MR","SCALING_FORMAT=MLN","Sort=A","Dates=H","DateFormat=P","Fill=—","Direction=H","UseDPDF=Y")</f>
        <v>0</v>
      </c>
      <c r="L47" s="13">
        <f>_xll.BDH("ALNY US Equity","XO_GL_NET_OF_TAX","FQ2 2021","FQ2 2021","Currency=USD","Period=FQ","BEST_FPERIOD_OVERRIDE=FQ","FILING_STATUS=MR","SCALING_FORMAT=MLN","Sort=A","Dates=H","DateFormat=P","Fill=—","Direction=H","UseDPDF=Y")</f>
        <v>0</v>
      </c>
      <c r="M47" s="13">
        <f>_xll.BDH("ALNY US Equity","XO_GL_NET_OF_TAX","FQ3 2021","FQ3 2021","Currency=USD","Period=FQ","BEST_FPERIOD_OVERRIDE=FQ","FILING_STATUS=MR","SCALING_FORMAT=MLN","Sort=A","Dates=H","DateFormat=P","Fill=—","Direction=H","UseDPDF=Y")</f>
        <v>0</v>
      </c>
      <c r="N47" s="13">
        <f>_xll.BDH("ALNY US Equity","XO_GL_NET_OF_TAX","FQ4 2021","FQ4 2021","Currency=USD","Period=FQ","BEST_FPERIOD_OVERRIDE=FQ","FILING_STATUS=MR","SCALING_FORMAT=MLN","Sort=A","Dates=H","DateFormat=P","Fill=—","Direction=H","UseDPDF=Y")</f>
        <v>0</v>
      </c>
      <c r="O47" s="13">
        <f>_xll.BDH("ALNY US Equity","XO_GL_NET_OF_TAX","FQ1 2022","FQ1 2022","Currency=USD","Period=FQ","BEST_FPERIOD_OVERRIDE=FQ","FILING_STATUS=MR","SCALING_FORMAT=MLN","Sort=A","Dates=H","DateFormat=P","Fill=—","Direction=H","UseDPDF=Y")</f>
        <v>0</v>
      </c>
      <c r="P47" s="13">
        <f>_xll.BDH("ALNY US Equity","XO_GL_NET_OF_TAX","FQ2 2022","FQ2 2022","Currency=USD","Period=FQ","BEST_FPERIOD_OVERRIDE=FQ","FILING_STATUS=MR","SCALING_FORMAT=MLN","Sort=A","Dates=H","DateFormat=P","Fill=—","Direction=H","UseDPDF=Y")</f>
        <v>0</v>
      </c>
      <c r="Q47" s="13">
        <f>_xll.BDH("ALNY US Equity","XO_GL_NET_OF_TAX","FQ3 2022","FQ3 2022","Currency=USD","Period=FQ","BEST_FPERIOD_OVERRIDE=FQ","FILING_STATUS=MR","SCALING_FORMAT=MLN","Sort=A","Dates=H","DateFormat=P","Fill=—","Direction=H","UseDPDF=Y")</f>
        <v>0</v>
      </c>
      <c r="R47" s="13">
        <f>_xll.BDH("ALNY US Equity","XO_GL_NET_OF_TAX","FQ4 2022","FQ4 2022","Currency=USD","Period=FQ","BEST_FPERIOD_OVERRIDE=FQ","FILING_STATUS=MR","SCALING_FORMAT=MLN","Sort=A","Dates=H","DateFormat=P","Fill=—","Direction=H","UseDPDF=Y")</f>
        <v>0</v>
      </c>
      <c r="S47" s="13">
        <f>_xll.BDH("ALNY US Equity","XO_GL_NET_OF_TAX","FQ1 2023","FQ1 2023","Currency=USD","Period=FQ","BEST_FPERIOD_OVERRIDE=FQ","FILING_STATUS=MR","SCALING_FORMAT=MLN","Sort=A","Dates=H","DateFormat=P","Fill=—","Direction=H","UseDPDF=Y")</f>
        <v>0</v>
      </c>
      <c r="T47" s="13">
        <f>_xll.BDH("ALNY US Equity","XO_GL_NET_OF_TAX","FQ2 2023","FQ2 2023","Currency=USD","Period=FQ","BEST_FPERIOD_OVERRIDE=FQ","FILING_STATUS=MR","SCALING_FORMAT=MLN","Sort=A","Dates=H","DateFormat=P","Fill=—","Direction=H","UseDPDF=Y")</f>
        <v>0</v>
      </c>
      <c r="U47" s="13">
        <f>_xll.BDH("ALNY US Equity","XO_GL_NET_OF_TAX","FQ3 2023","FQ3 2023","Currency=USD","Period=FQ","BEST_FPERIOD_OVERRIDE=FQ","FILING_STATUS=MR","SCALING_FORMAT=MLN","Sort=A","Dates=H","DateFormat=P","Fill=—","Direction=H","UseDPDF=Y")</f>
        <v>0</v>
      </c>
      <c r="V47" s="13">
        <f>_xll.BDH("ALNY US Equity","XO_GL_NET_OF_TAX","FQ4 2023","FQ4 2023","Currency=USD","Period=FQ","BEST_FPERIOD_OVERRIDE=FQ","FILING_STATUS=MR","SCALING_FORMAT=MLN","Sort=A","Dates=H","DateFormat=P","Fill=—","Direction=H","UseDPDF=Y")</f>
        <v>0</v>
      </c>
      <c r="W47" s="13">
        <f>_xll.BDH("ALNY US Equity","XO_GL_NET_OF_TAX","FQ1 2024","FQ1 2024","Currency=USD","Period=FQ","BEST_FPERIOD_OVERRIDE=FQ","FILING_STATUS=MR","SCALING_FORMAT=MLN","Sort=A","Dates=H","DateFormat=P","Fill=—","Direction=H","UseDPDF=Y")</f>
        <v>0</v>
      </c>
      <c r="X47" s="13">
        <f>_xll.BDH("ALNY US Equity","XO_GL_NET_OF_TAX","FQ2 2024","FQ2 2024","Currency=USD","Period=FQ","BEST_FPERIOD_OVERRIDE=FQ","FILING_STATUS=MR","SCALING_FORMAT=MLN","Sort=A","Dates=H","DateFormat=P","Fill=—","Direction=H","UseDPDF=Y")</f>
        <v>0</v>
      </c>
      <c r="Y47" s="13">
        <f>_xll.BDH("ALNY US Equity","XO_GL_NET_OF_TAX","FQ3 2024","FQ3 2024","Currency=USD","Period=FQ","BEST_FPERIOD_OVERRIDE=FQ","FILING_STATUS=MR","SCALING_FORMAT=MLN","Sort=A","Dates=H","DateFormat=P","Fill=—","Direction=H","UseDPDF=Y")</f>
        <v>0</v>
      </c>
      <c r="Z47" s="13">
        <f>_xll.BDH("ALNY US Equity","XO_GL_NET_OF_TAX","FQ4 2024","FQ4 2024","Currency=USD","Period=FQ","BEST_FPERIOD_OVERRIDE=FQ","FILING_STATUS=MR","SCALING_FORMAT=MLN","Sort=A","Dates=H","DateFormat=P","Fill=—","Direction=H","UseDPDF=Y")</f>
        <v>0</v>
      </c>
    </row>
    <row r="48" spans="1:26" x14ac:dyDescent="0.25">
      <c r="A48" s="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0" t="s">
        <v>132</v>
      </c>
      <c r="B49" s="10" t="s">
        <v>133</v>
      </c>
      <c r="C49" s="13">
        <f>_xll.BDH("ALNY US Equity","IS_AVG_NUM_SH_FOR_EPS","FQ1 2019","FQ1 2019","Currency=USD","Period=FQ","BEST_FPERIOD_OVERRIDE=FQ","FILING_STATUS=MR","Sort=A","Dates=H","DateFormat=P","Fill=—","Direction=H","UseDPDF=Y")</f>
        <v>105.4</v>
      </c>
      <c r="D49" s="13">
        <f>_xll.BDH("ALNY US Equity","IS_AVG_NUM_SH_FOR_EPS","FQ2 2019","FQ2 2019","Currency=USD","Period=FQ","BEST_FPERIOD_OVERRIDE=FQ","FILING_STATUS=MR","Sort=A","Dates=H","DateFormat=P","Fill=—","Direction=H","UseDPDF=Y")</f>
        <v>108.57599999999999</v>
      </c>
      <c r="E49" s="13">
        <f>_xll.BDH("ALNY US Equity","IS_AVG_NUM_SH_FOR_EPS","FQ3 2019","FQ3 2019","Currency=USD","Period=FQ","BEST_FPERIOD_OVERRIDE=FQ","FILING_STATUS=MR","Sort=A","Dates=H","DateFormat=P","Fill=—","Direction=H","UseDPDF=Y")</f>
        <v>108.70099999999999</v>
      </c>
      <c r="F49" s="13">
        <f>_xll.BDH("ALNY US Equity","IS_AVG_NUM_SH_FOR_EPS","FQ4 2019","FQ4 2019","Currency=USD","Period=FQ","BEST_FPERIOD_OVERRIDE=FQ","FILING_STATUS=MR","Sort=A","Dates=H","DateFormat=P","Fill=—","Direction=H","UseDPDF=Y")</f>
        <v>111.75</v>
      </c>
      <c r="G49" s="13">
        <f>_xll.BDH("ALNY US Equity","IS_AVG_NUM_SH_FOR_EPS","FQ1 2020","FQ1 2020","Currency=USD","Period=FQ","BEST_FPERIOD_OVERRIDE=FQ","FILING_STATUS=MR","Sort=A","Dates=H","DateFormat=P","Fill=—","Direction=H","UseDPDF=Y")</f>
        <v>112.748</v>
      </c>
      <c r="H49" s="13">
        <f>_xll.BDH("ALNY US Equity","IS_AVG_NUM_SH_FOR_EPS","FQ2 2020","FQ2 2020","Currency=USD","Period=FQ","BEST_FPERIOD_OVERRIDE=FQ","FILING_STATUS=MR","Sort=A","Dates=H","DateFormat=P","Fill=—","Direction=H","UseDPDF=Y")</f>
        <v>114.911</v>
      </c>
      <c r="I49" s="13">
        <f>_xll.BDH("ALNY US Equity","IS_AVG_NUM_SH_FOR_EPS","FQ3 2020","FQ3 2020","Currency=USD","Period=FQ","BEST_FPERIOD_OVERRIDE=FQ","FILING_STATUS=MR","Sort=A","Dates=H","DateFormat=P","Fill=—","Direction=H","UseDPDF=Y")</f>
        <v>115.986</v>
      </c>
      <c r="J49" s="13">
        <f>_xll.BDH("ALNY US Equity","IS_AVG_NUM_SH_FOR_EPS","FQ4 2020","FQ4 2020","Currency=USD","Period=FQ","BEST_FPERIOD_OVERRIDE=FQ","FILING_STATUS=MR","Sort=A","Dates=H","DateFormat=P","Fill=—","Direction=H","UseDPDF=Y")</f>
        <v>116.274</v>
      </c>
      <c r="K49" s="13">
        <f>_xll.BDH("ALNY US Equity","IS_AVG_NUM_SH_FOR_EPS","FQ1 2021","FQ1 2021","Currency=USD","Period=FQ","BEST_FPERIOD_OVERRIDE=FQ","FILING_STATUS=MR","Sort=A","Dates=H","DateFormat=P","Fill=—","Direction=H","UseDPDF=Y")</f>
        <v>117.08</v>
      </c>
      <c r="L49" s="13">
        <f>_xll.BDH("ALNY US Equity","IS_AVG_NUM_SH_FOR_EPS","FQ2 2021","FQ2 2021","Currency=USD","Period=FQ","BEST_FPERIOD_OVERRIDE=FQ","FILING_STATUS=MR","Sort=A","Dates=H","DateFormat=P","Fill=—","Direction=H","UseDPDF=Y")</f>
        <v>117.77200000000001</v>
      </c>
      <c r="M49" s="13">
        <f>_xll.BDH("ALNY US Equity","IS_AVG_NUM_SH_FOR_EPS","FQ3 2021","FQ3 2021","Currency=USD","Period=FQ","BEST_FPERIOD_OVERRIDE=FQ","FILING_STATUS=MR","Sort=A","Dates=H","DateFormat=P","Fill=—","Direction=H","UseDPDF=Y")</f>
        <v>119.14100000000001</v>
      </c>
      <c r="N49" s="13">
        <f>_xll.BDH("ALNY US Equity","IS_AVG_NUM_SH_FOR_EPS","FQ4 2021","FQ4 2021","Currency=USD","Period=FQ","BEST_FPERIOD_OVERRIDE=FQ","FILING_STATUS=MR","Sort=A","Dates=H","DateFormat=P","Fill=—","Direction=H","UseDPDF=Y")</f>
        <v>119.773</v>
      </c>
      <c r="O49" s="13">
        <f>_xll.BDH("ALNY US Equity","IS_AVG_NUM_SH_FOR_EPS","FQ1 2022","FQ1 2022","Currency=USD","Period=FQ","BEST_FPERIOD_OVERRIDE=FQ","FILING_STATUS=MR","Sort=A","Dates=H","DateFormat=P","Fill=—","Direction=H","UseDPDF=Y")</f>
        <v>120.393</v>
      </c>
      <c r="P49" s="13">
        <f>_xll.BDH("ALNY US Equity","IS_AVG_NUM_SH_FOR_EPS","FQ2 2022","FQ2 2022","Currency=USD","Period=FQ","BEST_FPERIOD_OVERRIDE=FQ","FILING_STATUS=MR","Sort=A","Dates=H","DateFormat=P","Fill=—","Direction=H","UseDPDF=Y")</f>
        <v>120.896</v>
      </c>
      <c r="Q49" s="13">
        <f>_xll.BDH("ALNY US Equity","IS_AVG_NUM_SH_FOR_EPS","FQ3 2022","FQ3 2022","Currency=USD","Period=FQ","BEST_FPERIOD_OVERRIDE=FQ","FILING_STATUS=MR","Sort=A","Dates=H","DateFormat=P","Fill=—","Direction=H","UseDPDF=Y")</f>
        <v>122.166</v>
      </c>
      <c r="R49" s="13">
        <f>_xll.BDH("ALNY US Equity","IS_AVG_NUM_SH_FOR_EPS","FQ4 2022","FQ4 2022","Currency=USD","Period=FQ","BEST_FPERIOD_OVERRIDE=FQ","FILING_STATUS=MR","Sort=A","Dates=H","DateFormat=P","Fill=—","Direction=H","UseDPDF=Y")</f>
        <v>123.26600000000001</v>
      </c>
      <c r="S49" s="13">
        <f>_xll.BDH("ALNY US Equity","IS_AVG_NUM_SH_FOR_EPS","FQ1 2023","FQ1 2023","Currency=USD","Period=FQ","BEST_FPERIOD_OVERRIDE=FQ","FILING_STATUS=MR","Sort=A","Dates=H","DateFormat=P","Fill=—","Direction=H","UseDPDF=Y")</f>
        <v>124.111</v>
      </c>
      <c r="T49" s="13">
        <f>_xll.BDH("ALNY US Equity","IS_AVG_NUM_SH_FOR_EPS","FQ2 2023","FQ2 2023","Currency=USD","Period=FQ","BEST_FPERIOD_OVERRIDE=FQ","FILING_STATUS=MR","Sort=A","Dates=H","DateFormat=P","Fill=—","Direction=H","UseDPDF=Y")</f>
        <v>124.65900000000001</v>
      </c>
      <c r="U49" s="13">
        <f>_xll.BDH("ALNY US Equity","IS_AVG_NUM_SH_FOR_EPS","FQ3 2023","FQ3 2023","Currency=USD","Period=FQ","BEST_FPERIOD_OVERRIDE=FQ","FILING_STATUS=MR","Sort=A","Dates=H","DateFormat=P","Fill=—","Direction=H","UseDPDF=Y")</f>
        <v>125.22</v>
      </c>
      <c r="V49" s="13">
        <f>_xll.BDH("ALNY US Equity","IS_AVG_NUM_SH_FOR_EPS","FQ4 2023","FQ4 2023","Currency=USD","Period=FQ","BEST_FPERIOD_OVERRIDE=FQ","FILING_STATUS=MR","Sort=A","Dates=H","DateFormat=P","Fill=—","Direction=H","UseDPDF=Y")</f>
        <v>125.613</v>
      </c>
      <c r="W49" s="13">
        <f>_xll.BDH("ALNY US Equity","IS_AVG_NUM_SH_FOR_EPS","FQ1 2024","FQ1 2024","Currency=USD","Period=FQ","BEST_FPERIOD_OVERRIDE=FQ","FILING_STATUS=MR","Sort=A","Dates=H","DateFormat=P","Fill=—","Direction=H","UseDPDF=Y")</f>
        <v>126.13800000000001</v>
      </c>
      <c r="X49" s="13">
        <f>_xll.BDH("ALNY US Equity","IS_AVG_NUM_SH_FOR_EPS","FQ2 2024","FQ2 2024","Currency=USD","Period=FQ","BEST_FPERIOD_OVERRIDE=FQ","FILING_STATUS=MR","Sort=A","Dates=H","DateFormat=P","Fill=—","Direction=H","UseDPDF=Y")</f>
        <v>126.733</v>
      </c>
      <c r="Y49" s="13">
        <f>_xll.BDH("ALNY US Equity","IS_AVG_NUM_SH_FOR_EPS","FQ3 2024","FQ3 2024","Currency=USD","Period=FQ","BEST_FPERIOD_OVERRIDE=FQ","FILING_STATUS=MR","Sort=A","Dates=H","DateFormat=P","Fill=—","Direction=H","UseDPDF=Y")</f>
        <v>128.59</v>
      </c>
      <c r="Z49" s="13">
        <f>_xll.BDH("ALNY US Equity","IS_AVG_NUM_SH_FOR_EPS","FQ4 2024","FQ4 2024","Currency=USD","Period=FQ","BEST_FPERIOD_OVERRIDE=FQ","FILING_STATUS=MR","Sort=A","Dates=H","DateFormat=P","Fill=—","Direction=H","UseDPDF=Y")</f>
        <v>129.11600000000001</v>
      </c>
    </row>
    <row r="50" spans="1:26" x14ac:dyDescent="0.25">
      <c r="A50" s="6" t="s">
        <v>134</v>
      </c>
      <c r="B50" s="6" t="s">
        <v>135</v>
      </c>
      <c r="C50" s="17">
        <f>_xll.BDH("ALNY US Equity","IS_EPS","FQ1 2019","FQ1 2019","Currency=USD","Period=FQ","BEST_FPERIOD_OVERRIDE=FQ","FILING_STATUS=MR","FA_ADJUSTED=GAAP","Sort=A","Dates=H","DateFormat=P","Fill=—","Direction=H","UseDPDF=Y")</f>
        <v>-1.73</v>
      </c>
      <c r="D50" s="17">
        <f>_xll.BDH("ALNY US Equity","IS_EPS","FQ2 2019","FQ2 2019","Currency=USD","Period=FQ","BEST_FPERIOD_OVERRIDE=FQ","FILING_STATUS=MR","FA_ADJUSTED=GAAP","Sort=A","Dates=H","DateFormat=P","Fill=—","Direction=H","UseDPDF=Y")</f>
        <v>-2.02</v>
      </c>
      <c r="E50" s="17">
        <f>_xll.BDH("ALNY US Equity","IS_EPS","FQ3 2019","FQ3 2019","Currency=USD","Period=FQ","BEST_FPERIOD_OVERRIDE=FQ","FILING_STATUS=MR","FA_ADJUSTED=GAAP","Sort=A","Dates=H","DateFormat=P","Fill=—","Direction=H","UseDPDF=Y")</f>
        <v>-1.92</v>
      </c>
      <c r="F50" s="17">
        <f>_xll.BDH("ALNY US Equity","IS_EPS","FQ4 2019","FQ4 2019","Currency=USD","Period=FQ","BEST_FPERIOD_OVERRIDE=FQ","FILING_STATUS=MR","FA_ADJUSTED=GAAP","Sort=A","Dates=H","DateFormat=P","Fill=—","Direction=H","UseDPDF=Y")</f>
        <v>-2.4700000000000002</v>
      </c>
      <c r="G50" s="17">
        <f>_xll.BDH("ALNY US Equity","IS_EPS","FQ1 2020","FQ1 2020","Currency=USD","Period=FQ","BEST_FPERIOD_OVERRIDE=FQ","FILING_STATUS=MR","FA_ADJUSTED=GAAP","Sort=A","Dates=H","DateFormat=P","Fill=—","Direction=H","UseDPDF=Y")</f>
        <v>-1.62</v>
      </c>
      <c r="H50" s="17">
        <f>_xll.BDH("ALNY US Equity","IS_EPS","FQ2 2020","FQ2 2020","Currency=USD","Period=FQ","BEST_FPERIOD_OVERRIDE=FQ","FILING_STATUS=MR","FA_ADJUSTED=GAAP","Sort=A","Dates=H","DateFormat=P","Fill=—","Direction=H","UseDPDF=Y")</f>
        <v>-1.56</v>
      </c>
      <c r="I50" s="17">
        <f>_xll.BDH("ALNY US Equity","IS_EPS","FQ3 2020","FQ3 2020","Currency=USD","Period=FQ","BEST_FPERIOD_OVERRIDE=FQ","FILING_STATUS=MR","FA_ADJUSTED=GAAP","Sort=A","Dates=H","DateFormat=P","Fill=—","Direction=H","UseDPDF=Y")</f>
        <v>-2.1800000000000002</v>
      </c>
      <c r="J50" s="17">
        <f>_xll.BDH("ALNY US Equity","IS_EPS","FQ4 2020","FQ4 2020","Currency=USD","Period=FQ","BEST_FPERIOD_OVERRIDE=FQ","FILING_STATUS=MR","FA_ADJUSTED=GAAP","Sort=A","Dates=H","DateFormat=P","Fill=—","Direction=H","UseDPDF=Y")</f>
        <v>-2.09</v>
      </c>
      <c r="K50" s="17">
        <f>_xll.BDH("ALNY US Equity","IS_EPS","FQ1 2021","FQ1 2021","Currency=USD","Period=FQ","BEST_FPERIOD_OVERRIDE=FQ","FILING_STATUS=MR","FA_ADJUSTED=GAAP","Sort=A","Dates=H","DateFormat=P","Fill=—","Direction=H","UseDPDF=Y")</f>
        <v>-1.71</v>
      </c>
      <c r="L50" s="17">
        <f>_xll.BDH("ALNY US Equity","IS_EPS","FQ2 2021","FQ2 2021","Currency=USD","Period=FQ","BEST_FPERIOD_OVERRIDE=FQ","FILING_STATUS=MR","FA_ADJUSTED=GAAP","Sort=A","Dates=H","DateFormat=P","Fill=—","Direction=H","UseDPDF=Y")</f>
        <v>-1.61</v>
      </c>
      <c r="M50" s="17">
        <f>_xll.BDH("ALNY US Equity","IS_EPS","FQ3 2021","FQ3 2021","Currency=USD","Period=FQ","BEST_FPERIOD_OVERRIDE=FQ","FILING_STATUS=MR","FA_ADJUSTED=GAAP","Sort=A","Dates=H","DateFormat=P","Fill=—","Direction=H","UseDPDF=Y")</f>
        <v>-1.72</v>
      </c>
      <c r="N50" s="17">
        <f>_xll.BDH("ALNY US Equity","IS_EPS","FQ4 2021","FQ4 2021","Currency=USD","Period=FQ","BEST_FPERIOD_OVERRIDE=FQ","FILING_STATUS=MR","FA_ADJUSTED=GAAP","Sort=A","Dates=H","DateFormat=P","Fill=—","Direction=H","UseDPDF=Y")</f>
        <v>-2.16</v>
      </c>
      <c r="O50" s="17">
        <f>_xll.BDH("ALNY US Equity","IS_EPS","FQ1 2022","FQ1 2022","Currency=USD","Period=FQ","BEST_FPERIOD_OVERRIDE=FQ","FILING_STATUS=MR","FA_ADJUSTED=GAAP","Sort=A","Dates=H","DateFormat=P","Fill=—","Direction=H","UseDPDF=Y")</f>
        <v>-2</v>
      </c>
      <c r="P50" s="17">
        <f>_xll.BDH("ALNY US Equity","IS_EPS","FQ2 2022","FQ2 2022","Currency=USD","Period=FQ","BEST_FPERIOD_OVERRIDE=FQ","FILING_STATUS=MR","FA_ADJUSTED=GAAP","Sort=A","Dates=H","DateFormat=P","Fill=—","Direction=H","UseDPDF=Y")</f>
        <v>-2.29</v>
      </c>
      <c r="Q50" s="17">
        <f>_xll.BDH("ALNY US Equity","IS_EPS","FQ3 2022","FQ3 2022","Currency=USD","Period=FQ","BEST_FPERIOD_OVERRIDE=FQ","FILING_STATUS=MR","FA_ADJUSTED=GAAP","Sort=A","Dates=H","DateFormat=P","Fill=—","Direction=H","UseDPDF=Y")</f>
        <v>-3.32</v>
      </c>
      <c r="R50" s="17">
        <f>_xll.BDH("ALNY US Equity","IS_EPS","FQ4 2022","FQ4 2022","Currency=USD","Period=FQ","BEST_FPERIOD_OVERRIDE=FQ","FILING_STATUS=MR","FA_ADJUSTED=GAAP","Sort=A","Dates=H","DateFormat=P","Fill=—","Direction=H","UseDPDF=Y")</f>
        <v>-1.68</v>
      </c>
      <c r="S50" s="17">
        <f>_xll.BDH("ALNY US Equity","IS_EPS","FQ1 2023","FQ1 2023","Currency=USD","Period=FQ","BEST_FPERIOD_OVERRIDE=FQ","FILING_STATUS=MR","FA_ADJUSTED=GAAP","Sort=A","Dates=H","DateFormat=P","Fill=—","Direction=H","UseDPDF=Y")</f>
        <v>-1.4</v>
      </c>
      <c r="T50" s="17">
        <f>_xll.BDH("ALNY US Equity","IS_EPS","FQ2 2023","FQ2 2023","Currency=USD","Period=FQ","BEST_FPERIOD_OVERRIDE=FQ","FILING_STATUS=MR","FA_ADJUSTED=GAAP","Sort=A","Dates=H","DateFormat=P","Fill=—","Direction=H","UseDPDF=Y")</f>
        <v>-2.21</v>
      </c>
      <c r="U50" s="17">
        <f>_xll.BDH("ALNY US Equity","IS_EPS","FQ3 2023","FQ3 2023","Currency=USD","Period=FQ","BEST_FPERIOD_OVERRIDE=FQ","FILING_STATUS=MR","FA_ADJUSTED=GAAP","Sort=A","Dates=H","DateFormat=P","Fill=—","Direction=H","UseDPDF=Y")</f>
        <v>1.18</v>
      </c>
      <c r="V50" s="17">
        <f>_xll.BDH("ALNY US Equity","IS_EPS","FQ4 2023","FQ4 2023","Currency=USD","Period=FQ","BEST_FPERIOD_OVERRIDE=FQ","FILING_STATUS=MR","FA_ADJUSTED=GAAP","Sort=A","Dates=H","DateFormat=P","Fill=—","Direction=H","UseDPDF=Y")</f>
        <v>-1.1000000000000001</v>
      </c>
      <c r="W50" s="17">
        <f>_xll.BDH("ALNY US Equity","IS_EPS","FQ1 2024","FQ1 2024","Currency=USD","Period=FQ","BEST_FPERIOD_OVERRIDE=FQ","FILING_STATUS=MR","FA_ADJUSTED=GAAP","Sort=A","Dates=H","DateFormat=P","Fill=—","Direction=H","UseDPDF=Y")</f>
        <v>-0.52</v>
      </c>
      <c r="X50" s="17">
        <f>_xll.BDH("ALNY US Equity","IS_EPS","FQ2 2024","FQ2 2024","Currency=USD","Period=FQ","BEST_FPERIOD_OVERRIDE=FQ","FILING_STATUS=MR","FA_ADJUSTED=GAAP","Sort=A","Dates=H","DateFormat=P","Fill=—","Direction=H","UseDPDF=Y")</f>
        <v>-0.13</v>
      </c>
      <c r="Y50" s="17">
        <f>_xll.BDH("ALNY US Equity","IS_EPS","FQ3 2024","FQ3 2024","Currency=USD","Period=FQ","BEST_FPERIOD_OVERRIDE=FQ","FILING_STATUS=MR","FA_ADJUSTED=GAAP","Sort=A","Dates=H","DateFormat=P","Fill=—","Direction=H","UseDPDF=Y")</f>
        <v>-0.87</v>
      </c>
      <c r="Z50" s="17">
        <f>_xll.BDH("ALNY US Equity","IS_EPS","FQ4 2024","FQ4 2024","Currency=USD","Period=FQ","BEST_FPERIOD_OVERRIDE=FQ","FILING_STATUS=MR","FA_ADJUSTED=GAAP","Sort=A","Dates=H","DateFormat=P","Fill=—","Direction=H","UseDPDF=Y")</f>
        <v>-0.65</v>
      </c>
    </row>
    <row r="51" spans="1:26" x14ac:dyDescent="0.25">
      <c r="A51" s="6" t="s">
        <v>136</v>
      </c>
      <c r="B51" s="6" t="s">
        <v>137</v>
      </c>
      <c r="C51" s="17">
        <f>_xll.BDH("ALNY US Equity","IS_EARN_BEF_XO_ITEMS_PER_SH","FQ1 2019","FQ1 2019","Currency=USD","Period=FQ","BEST_FPERIOD_OVERRIDE=FQ","FILING_STATUS=MR","Sort=A","Dates=H","DateFormat=P","Fill=—","Direction=H","UseDPDF=Y")</f>
        <v>-1.73</v>
      </c>
      <c r="D51" s="17">
        <f>_xll.BDH("ALNY US Equity","IS_EARN_BEF_XO_ITEMS_PER_SH","FQ2 2019","FQ2 2019","Currency=USD","Period=FQ","BEST_FPERIOD_OVERRIDE=FQ","FILING_STATUS=MR","Sort=A","Dates=H","DateFormat=P","Fill=—","Direction=H","UseDPDF=Y")</f>
        <v>-2.02</v>
      </c>
      <c r="E51" s="17">
        <f>_xll.BDH("ALNY US Equity","IS_EARN_BEF_XO_ITEMS_PER_SH","FQ3 2019","FQ3 2019","Currency=USD","Period=FQ","BEST_FPERIOD_OVERRIDE=FQ","FILING_STATUS=MR","Sort=A","Dates=H","DateFormat=P","Fill=—","Direction=H","UseDPDF=Y")</f>
        <v>-1.92</v>
      </c>
      <c r="F51" s="17">
        <f>_xll.BDH("ALNY US Equity","IS_EARN_BEF_XO_ITEMS_PER_SH","FQ4 2019","FQ4 2019","Currency=USD","Period=FQ","BEST_FPERIOD_OVERRIDE=FQ","FILING_STATUS=MR","Sort=A","Dates=H","DateFormat=P","Fill=—","Direction=H","UseDPDF=Y")</f>
        <v>-2.4700000000000002</v>
      </c>
      <c r="G51" s="17">
        <f>_xll.BDH("ALNY US Equity","IS_EARN_BEF_XO_ITEMS_PER_SH","FQ1 2020","FQ1 2020","Currency=USD","Period=FQ","BEST_FPERIOD_OVERRIDE=FQ","FILING_STATUS=MR","Sort=A","Dates=H","DateFormat=P","Fill=—","Direction=H","UseDPDF=Y")</f>
        <v>-1.62</v>
      </c>
      <c r="H51" s="17">
        <f>_xll.BDH("ALNY US Equity","IS_EARN_BEF_XO_ITEMS_PER_SH","FQ2 2020","FQ2 2020","Currency=USD","Period=FQ","BEST_FPERIOD_OVERRIDE=FQ","FILING_STATUS=MR","Sort=A","Dates=H","DateFormat=P","Fill=—","Direction=H","UseDPDF=Y")</f>
        <v>-1.56</v>
      </c>
      <c r="I51" s="17">
        <f>_xll.BDH("ALNY US Equity","IS_EARN_BEF_XO_ITEMS_PER_SH","FQ3 2020","FQ3 2020","Currency=USD","Period=FQ","BEST_FPERIOD_OVERRIDE=FQ","FILING_STATUS=MR","Sort=A","Dates=H","DateFormat=P","Fill=—","Direction=H","UseDPDF=Y")</f>
        <v>-2.1800000000000002</v>
      </c>
      <c r="J51" s="17">
        <f>_xll.BDH("ALNY US Equity","IS_EARN_BEF_XO_ITEMS_PER_SH","FQ4 2020","FQ4 2020","Currency=USD","Period=FQ","BEST_FPERIOD_OVERRIDE=FQ","FILING_STATUS=MR","Sort=A","Dates=H","DateFormat=P","Fill=—","Direction=H","UseDPDF=Y")</f>
        <v>-2.09</v>
      </c>
      <c r="K51" s="17">
        <f>_xll.BDH("ALNY US Equity","IS_EARN_BEF_XO_ITEMS_PER_SH","FQ1 2021","FQ1 2021","Currency=USD","Period=FQ","BEST_FPERIOD_OVERRIDE=FQ","FILING_STATUS=MR","Sort=A","Dates=H","DateFormat=P","Fill=—","Direction=H","UseDPDF=Y")</f>
        <v>-1.71</v>
      </c>
      <c r="L51" s="17">
        <f>_xll.BDH("ALNY US Equity","IS_EARN_BEF_XO_ITEMS_PER_SH","FQ2 2021","FQ2 2021","Currency=USD","Period=FQ","BEST_FPERIOD_OVERRIDE=FQ","FILING_STATUS=MR","Sort=A","Dates=H","DateFormat=P","Fill=—","Direction=H","UseDPDF=Y")</f>
        <v>-1.61</v>
      </c>
      <c r="M51" s="17">
        <f>_xll.BDH("ALNY US Equity","IS_EARN_BEF_XO_ITEMS_PER_SH","FQ3 2021","FQ3 2021","Currency=USD","Period=FQ","BEST_FPERIOD_OVERRIDE=FQ","FILING_STATUS=MR","Sort=A","Dates=H","DateFormat=P","Fill=—","Direction=H","UseDPDF=Y")</f>
        <v>-1.72</v>
      </c>
      <c r="N51" s="17">
        <f>_xll.BDH("ALNY US Equity","IS_EARN_BEF_XO_ITEMS_PER_SH","FQ4 2021","FQ4 2021","Currency=USD","Period=FQ","BEST_FPERIOD_OVERRIDE=FQ","FILING_STATUS=MR","Sort=A","Dates=H","DateFormat=P","Fill=—","Direction=H","UseDPDF=Y")</f>
        <v>-2.16</v>
      </c>
      <c r="O51" s="17">
        <f>_xll.BDH("ALNY US Equity","IS_EARN_BEF_XO_ITEMS_PER_SH","FQ1 2022","FQ1 2022","Currency=USD","Period=FQ","BEST_FPERIOD_OVERRIDE=FQ","FILING_STATUS=MR","Sort=A","Dates=H","DateFormat=P","Fill=—","Direction=H","UseDPDF=Y")</f>
        <v>-2</v>
      </c>
      <c r="P51" s="17">
        <f>_xll.BDH("ALNY US Equity","IS_EARN_BEF_XO_ITEMS_PER_SH","FQ2 2022","FQ2 2022","Currency=USD","Period=FQ","BEST_FPERIOD_OVERRIDE=FQ","FILING_STATUS=MR","Sort=A","Dates=H","DateFormat=P","Fill=—","Direction=H","UseDPDF=Y")</f>
        <v>-2.29</v>
      </c>
      <c r="Q51" s="17">
        <f>_xll.BDH("ALNY US Equity","IS_EARN_BEF_XO_ITEMS_PER_SH","FQ3 2022","FQ3 2022","Currency=USD","Period=FQ","BEST_FPERIOD_OVERRIDE=FQ","FILING_STATUS=MR","Sort=A","Dates=H","DateFormat=P","Fill=—","Direction=H","UseDPDF=Y")</f>
        <v>-3.32</v>
      </c>
      <c r="R51" s="17">
        <f>_xll.BDH("ALNY US Equity","IS_EARN_BEF_XO_ITEMS_PER_SH","FQ4 2022","FQ4 2022","Currency=USD","Period=FQ","BEST_FPERIOD_OVERRIDE=FQ","FILING_STATUS=MR","Sort=A","Dates=H","DateFormat=P","Fill=—","Direction=H","UseDPDF=Y")</f>
        <v>-1.68</v>
      </c>
      <c r="S51" s="17">
        <f>_xll.BDH("ALNY US Equity","IS_EARN_BEF_XO_ITEMS_PER_SH","FQ1 2023","FQ1 2023","Currency=USD","Period=FQ","BEST_FPERIOD_OVERRIDE=FQ","FILING_STATUS=MR","Sort=A","Dates=H","DateFormat=P","Fill=—","Direction=H","UseDPDF=Y")</f>
        <v>-1.4</v>
      </c>
      <c r="T51" s="17">
        <f>_xll.BDH("ALNY US Equity","IS_EARN_BEF_XO_ITEMS_PER_SH","FQ2 2023","FQ2 2023","Currency=USD","Period=FQ","BEST_FPERIOD_OVERRIDE=FQ","FILING_STATUS=MR","Sort=A","Dates=H","DateFormat=P","Fill=—","Direction=H","UseDPDF=Y")</f>
        <v>-2.21</v>
      </c>
      <c r="U51" s="17">
        <f>_xll.BDH("ALNY US Equity","IS_EARN_BEF_XO_ITEMS_PER_SH","FQ3 2023","FQ3 2023","Currency=USD","Period=FQ","BEST_FPERIOD_OVERRIDE=FQ","FILING_STATUS=MR","Sort=A","Dates=H","DateFormat=P","Fill=—","Direction=H","UseDPDF=Y")</f>
        <v>1.18</v>
      </c>
      <c r="V51" s="17">
        <f>_xll.BDH("ALNY US Equity","IS_EARN_BEF_XO_ITEMS_PER_SH","FQ4 2023","FQ4 2023","Currency=USD","Period=FQ","BEST_FPERIOD_OVERRIDE=FQ","FILING_STATUS=MR","Sort=A","Dates=H","DateFormat=P","Fill=—","Direction=H","UseDPDF=Y")</f>
        <v>-1.1000000000000001</v>
      </c>
      <c r="W51" s="17">
        <f>_xll.BDH("ALNY US Equity","IS_EARN_BEF_XO_ITEMS_PER_SH","FQ1 2024","FQ1 2024","Currency=USD","Period=FQ","BEST_FPERIOD_OVERRIDE=FQ","FILING_STATUS=MR","Sort=A","Dates=H","DateFormat=P","Fill=—","Direction=H","UseDPDF=Y")</f>
        <v>-0.52</v>
      </c>
      <c r="X51" s="17">
        <f>_xll.BDH("ALNY US Equity","IS_EARN_BEF_XO_ITEMS_PER_SH","FQ2 2024","FQ2 2024","Currency=USD","Period=FQ","BEST_FPERIOD_OVERRIDE=FQ","FILING_STATUS=MR","Sort=A","Dates=H","DateFormat=P","Fill=—","Direction=H","UseDPDF=Y")</f>
        <v>-0.13</v>
      </c>
      <c r="Y51" s="17">
        <f>_xll.BDH("ALNY US Equity","IS_EARN_BEF_XO_ITEMS_PER_SH","FQ3 2024","FQ3 2024","Currency=USD","Period=FQ","BEST_FPERIOD_OVERRIDE=FQ","FILING_STATUS=MR","Sort=A","Dates=H","DateFormat=P","Fill=—","Direction=H","UseDPDF=Y")</f>
        <v>-0.87</v>
      </c>
      <c r="Z51" s="17">
        <f>_xll.BDH("ALNY US Equity","IS_EARN_BEF_XO_ITEMS_PER_SH","FQ4 2024","FQ4 2024","Currency=USD","Period=FQ","BEST_FPERIOD_OVERRIDE=FQ","FILING_STATUS=MR","Sort=A","Dates=H","DateFormat=P","Fill=—","Direction=H","UseDPDF=Y")</f>
        <v>-0.65</v>
      </c>
    </row>
    <row r="52" spans="1:26" x14ac:dyDescent="0.25">
      <c r="A52" s="6" t="s">
        <v>138</v>
      </c>
      <c r="B52" s="6" t="s">
        <v>139</v>
      </c>
      <c r="C52" s="17">
        <f>_xll.BDH("ALNY US Equity","IS_BASIC_EPS_CONT_OPS","FQ1 2019","FQ1 2019","Currency=USD","Period=FQ","BEST_FPERIOD_OVERRIDE=FQ","FILING_STATUS=MR","Sort=A","Dates=H","DateFormat=P","Fill=—","Direction=H","UseDPDF=Y")</f>
        <v>-1.73</v>
      </c>
      <c r="D52" s="17">
        <f>_xll.BDH("ALNY US Equity","IS_BASIC_EPS_CONT_OPS","FQ2 2019","FQ2 2019","Currency=USD","Period=FQ","BEST_FPERIOD_OVERRIDE=FQ","FILING_STATUS=MR","Sort=A","Dates=H","DateFormat=P","Fill=—","Direction=H","UseDPDF=Y")</f>
        <v>-2.1082000000000001</v>
      </c>
      <c r="E52" s="17">
        <f>_xll.BDH("ALNY US Equity","IS_BASIC_EPS_CONT_OPS","FQ3 2019","FQ3 2019","Currency=USD","Period=FQ","BEST_FPERIOD_OVERRIDE=FQ","FILING_STATUS=MR","Sort=A","Dates=H","DateFormat=P","Fill=—","Direction=H","UseDPDF=Y")</f>
        <v>-1.92</v>
      </c>
      <c r="F52" s="17">
        <f>_xll.BDH("ALNY US Equity","IS_BASIC_EPS_CONT_OPS","FQ4 2019","FQ4 2019","Currency=USD","Period=FQ","BEST_FPERIOD_OVERRIDE=FQ","FILING_STATUS=MR","Sort=A","Dates=H","DateFormat=P","Fill=—","Direction=H","UseDPDF=Y")</f>
        <v>-2.5722999999999998</v>
      </c>
      <c r="G52" s="17">
        <f>_xll.BDH("ALNY US Equity","IS_BASIC_EPS_CONT_OPS","FQ1 2020","FQ1 2020","Currency=USD","Period=FQ","BEST_FPERIOD_OVERRIDE=FQ","FILING_STATUS=MR","Sort=A","Dates=H","DateFormat=P","Fill=—","Direction=H","UseDPDF=Y")</f>
        <v>-1.83</v>
      </c>
      <c r="H52" s="17">
        <f>_xll.BDH("ALNY US Equity","IS_BASIC_EPS_CONT_OPS","FQ2 2020","FQ2 2020","Currency=USD","Period=FQ","BEST_FPERIOD_OVERRIDE=FQ","FILING_STATUS=MR","Sort=A","Dates=H","DateFormat=P","Fill=—","Direction=H","UseDPDF=Y")</f>
        <v>-1.9588000000000001</v>
      </c>
      <c r="I52" s="17">
        <f>_xll.BDH("ALNY US Equity","IS_BASIC_EPS_CONT_OPS","FQ3 2020","FQ3 2020","Currency=USD","Period=FQ","BEST_FPERIOD_OVERRIDE=FQ","FILING_STATUS=MR","Sort=A","Dates=H","DateFormat=P","Fill=—","Direction=H","UseDPDF=Y")</f>
        <v>-1.9041999999999999</v>
      </c>
      <c r="J52" s="17">
        <f>_xll.BDH("ALNY US Equity","IS_BASIC_EPS_CONT_OPS","FQ4 2020","FQ4 2020","Currency=USD","Period=FQ","BEST_FPERIOD_OVERRIDE=FQ","FILING_STATUS=MR","Sort=A","Dates=H","DateFormat=P","Fill=—","Direction=H","UseDPDF=Y")</f>
        <v>-1.8984000000000001</v>
      </c>
      <c r="K52" s="17">
        <f>_xll.BDH("ALNY US Equity","IS_BASIC_EPS_CONT_OPS","FQ1 2021","FQ1 2021","Currency=USD","Period=FQ","BEST_FPERIOD_OVERRIDE=FQ","FILING_STATUS=MR","Sort=A","Dates=H","DateFormat=P","Fill=—","Direction=H","UseDPDF=Y")</f>
        <v>-2.1122999999999998</v>
      </c>
      <c r="L52" s="17">
        <f>_xll.BDH("ALNY US Equity","IS_BASIC_EPS_CONT_OPS","FQ2 2021","FQ2 2021","Currency=USD","Period=FQ","BEST_FPERIOD_OVERRIDE=FQ","FILING_STATUS=MR","Sort=A","Dates=H","DateFormat=P","Fill=—","Direction=H","UseDPDF=Y")</f>
        <v>-1.5719000000000001</v>
      </c>
      <c r="M52" s="17">
        <f>_xll.BDH("ALNY US Equity","IS_BASIC_EPS_CONT_OPS","FQ3 2021","FQ3 2021","Currency=USD","Period=FQ","BEST_FPERIOD_OVERRIDE=FQ","FILING_STATUS=MR","Sort=A","Dates=H","DateFormat=P","Fill=—","Direction=H","UseDPDF=Y")</f>
        <v>-1.7895000000000001</v>
      </c>
      <c r="N52" s="17">
        <f>_xll.BDH("ALNY US Equity","IS_BASIC_EPS_CONT_OPS","FQ4 2021","FQ4 2021","Currency=USD","Period=FQ","BEST_FPERIOD_OVERRIDE=FQ","FILING_STATUS=MR","Sort=A","Dates=H","DateFormat=P","Fill=—","Direction=H","UseDPDF=Y")</f>
        <v>-2.1113</v>
      </c>
      <c r="O52" s="17">
        <f>_xll.BDH("ALNY US Equity","IS_BASIC_EPS_CONT_OPS","FQ1 2022","FQ1 2022","Currency=USD","Period=FQ","BEST_FPERIOD_OVERRIDE=FQ","FILING_STATUS=MR","Sort=A","Dates=H","DateFormat=P","Fill=—","Direction=H","UseDPDF=Y")</f>
        <v>-1.7375</v>
      </c>
      <c r="P52" s="17">
        <f>_xll.BDH("ALNY US Equity","IS_BASIC_EPS_CONT_OPS","FQ2 2022","FQ2 2022","Currency=USD","Period=FQ","BEST_FPERIOD_OVERRIDE=FQ","FILING_STATUS=MR","Sort=A","Dates=H","DateFormat=P","Fill=—","Direction=H","UseDPDF=Y")</f>
        <v>-2.2854999999999999</v>
      </c>
      <c r="Q52" s="17">
        <f>_xll.BDH("ALNY US Equity","IS_BASIC_EPS_CONT_OPS","FQ3 2022","FQ3 2022","Currency=USD","Period=FQ","BEST_FPERIOD_OVERRIDE=FQ","FILING_STATUS=MR","Sort=A","Dates=H","DateFormat=P","Fill=—","Direction=H","UseDPDF=Y")</f>
        <v>-2.6315</v>
      </c>
      <c r="R52" s="17">
        <f>_xll.BDH("ALNY US Equity","IS_BASIC_EPS_CONT_OPS","FQ4 2022","FQ4 2022","Currency=USD","Period=FQ","BEST_FPERIOD_OVERRIDE=FQ","FILING_STATUS=MR","Sort=A","Dates=H","DateFormat=P","Fill=—","Direction=H","UseDPDF=Y")</f>
        <v>-1.7383999999999999</v>
      </c>
      <c r="S52" s="17">
        <f>_xll.BDH("ALNY US Equity","IS_BASIC_EPS_CONT_OPS","FQ1 2023","FQ1 2023","Currency=USD","Period=FQ","BEST_FPERIOD_OVERRIDE=FQ","FILING_STATUS=MR","Sort=A","Dates=H","DateFormat=P","Fill=—","Direction=H","UseDPDF=Y")</f>
        <v>-1.3845000000000001</v>
      </c>
      <c r="T52" s="17">
        <f>_xll.BDH("ALNY US Equity","IS_BASIC_EPS_CONT_OPS","FQ2 2023","FQ2 2023","Currency=USD","Period=FQ","BEST_FPERIOD_OVERRIDE=FQ","FILING_STATUS=MR","Sort=A","Dates=H","DateFormat=P","Fill=—","Direction=H","UseDPDF=Y")</f>
        <v>-2.2254999999999998</v>
      </c>
      <c r="U52" s="17">
        <f>_xll.BDH("ALNY US Equity","IS_BASIC_EPS_CONT_OPS","FQ3 2023","FQ3 2023","Currency=USD","Period=FQ","BEST_FPERIOD_OVERRIDE=FQ","FILING_STATUS=MR","Sort=A","Dates=H","DateFormat=P","Fill=—","Direction=H","UseDPDF=Y")</f>
        <v>1.3145</v>
      </c>
      <c r="V52" s="17">
        <f>_xll.BDH("ALNY US Equity","IS_BASIC_EPS_CONT_OPS","FQ4 2023","FQ4 2023","Currency=USD","Period=FQ","BEST_FPERIOD_OVERRIDE=FQ","FILING_STATUS=MR","Sort=A","Dates=H","DateFormat=P","Fill=—","Direction=H","UseDPDF=Y")</f>
        <v>-1.1036999999999999</v>
      </c>
      <c r="W52" s="17">
        <f>_xll.BDH("ALNY US Equity","IS_BASIC_EPS_CONT_OPS","FQ1 2024","FQ1 2024","Currency=USD","Period=FQ","BEST_FPERIOD_OVERRIDE=FQ","FILING_STATUS=MR","Sort=A","Dates=H","DateFormat=P","Fill=—","Direction=H","UseDPDF=Y")</f>
        <v>-0.52329999999999999</v>
      </c>
      <c r="X52" s="17">
        <f>_xll.BDH("ALNY US Equity","IS_BASIC_EPS_CONT_OPS","FQ2 2024","FQ2 2024","Currency=USD","Period=FQ","BEST_FPERIOD_OVERRIDE=FQ","FILING_STATUS=MR","Sort=A","Dates=H","DateFormat=P","Fill=—","Direction=H","UseDPDF=Y")</f>
        <v>-0.1225</v>
      </c>
      <c r="Y52" s="17">
        <f>_xll.BDH("ALNY US Equity","IS_BASIC_EPS_CONT_OPS","FQ3 2024","FQ3 2024","Currency=USD","Period=FQ","BEST_FPERIOD_OVERRIDE=FQ","FILING_STATUS=MR","Sort=A","Dates=H","DateFormat=P","Fill=—","Direction=H","UseDPDF=Y")</f>
        <v>-0.85550000000000004</v>
      </c>
      <c r="Z52" s="17">
        <f>_xll.BDH("ALNY US Equity","IS_BASIC_EPS_CONT_OPS","FQ4 2024","FQ4 2024","Currency=USD","Period=FQ","BEST_FPERIOD_OVERRIDE=FQ","FILING_STATUS=MR","Sort=A","Dates=H","DateFormat=P","Fill=—","Direction=H","UseDPDF=Y")</f>
        <v>-0.64749999999999996</v>
      </c>
    </row>
    <row r="53" spans="1:26" x14ac:dyDescent="0.25">
      <c r="A53" s="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0" t="s">
        <v>140</v>
      </c>
      <c r="B54" s="10" t="s">
        <v>141</v>
      </c>
      <c r="C54" s="13">
        <f>_xll.BDH("ALNY US Equity","IS_SH_FOR_DILUTED_EPS","FQ1 2019","FQ1 2019","Currency=USD","Period=FQ","BEST_FPERIOD_OVERRIDE=FQ","FILING_STATUS=MR","Sort=A","Dates=H","DateFormat=P","Fill=—","Direction=H","UseDPDF=Y")</f>
        <v>105.4</v>
      </c>
      <c r="D54" s="13">
        <f>_xll.BDH("ALNY US Equity","IS_SH_FOR_DILUTED_EPS","FQ2 2019","FQ2 2019","Currency=USD","Period=FQ","BEST_FPERIOD_OVERRIDE=FQ","FILING_STATUS=MR","Sort=A","Dates=H","DateFormat=P","Fill=—","Direction=H","UseDPDF=Y")</f>
        <v>108.57599999999999</v>
      </c>
      <c r="E54" s="13">
        <f>_xll.BDH("ALNY US Equity","IS_SH_FOR_DILUTED_EPS","FQ3 2019","FQ3 2019","Currency=USD","Period=FQ","BEST_FPERIOD_OVERRIDE=FQ","FILING_STATUS=MR","Sort=A","Dates=H","DateFormat=P","Fill=—","Direction=H","UseDPDF=Y")</f>
        <v>108.70099999999999</v>
      </c>
      <c r="F54" s="13">
        <f>_xll.BDH("ALNY US Equity","IS_SH_FOR_DILUTED_EPS","FQ4 2019","FQ4 2019","Currency=USD","Period=FQ","BEST_FPERIOD_OVERRIDE=FQ","FILING_STATUS=MR","Sort=A","Dates=H","DateFormat=P","Fill=—","Direction=H","UseDPDF=Y")</f>
        <v>111.75</v>
      </c>
      <c r="G54" s="13">
        <f>_xll.BDH("ALNY US Equity","IS_SH_FOR_DILUTED_EPS","FQ1 2020","FQ1 2020","Currency=USD","Period=FQ","BEST_FPERIOD_OVERRIDE=FQ","FILING_STATUS=MR","Sort=A","Dates=H","DateFormat=P","Fill=—","Direction=H","UseDPDF=Y")</f>
        <v>112.748</v>
      </c>
      <c r="H54" s="13">
        <f>_xll.BDH("ALNY US Equity","IS_SH_FOR_DILUTED_EPS","FQ2 2020","FQ2 2020","Currency=USD","Period=FQ","BEST_FPERIOD_OVERRIDE=FQ","FILING_STATUS=MR","Sort=A","Dates=H","DateFormat=P","Fill=—","Direction=H","UseDPDF=Y")</f>
        <v>114.911</v>
      </c>
      <c r="I54" s="13">
        <f>_xll.BDH("ALNY US Equity","IS_SH_FOR_DILUTED_EPS","FQ3 2020","FQ3 2020","Currency=USD","Period=FQ","BEST_FPERIOD_OVERRIDE=FQ","FILING_STATUS=MR","Sort=A","Dates=H","DateFormat=P","Fill=—","Direction=H","UseDPDF=Y")</f>
        <v>115.986</v>
      </c>
      <c r="J54" s="13">
        <f>_xll.BDH("ALNY US Equity","IS_SH_FOR_DILUTED_EPS","FQ4 2020","FQ4 2020","Currency=USD","Period=FQ","BEST_FPERIOD_OVERRIDE=FQ","FILING_STATUS=MR","Sort=A","Dates=H","DateFormat=P","Fill=—","Direction=H","UseDPDF=Y")</f>
        <v>116.274</v>
      </c>
      <c r="K54" s="13">
        <f>_xll.BDH("ALNY US Equity","IS_SH_FOR_DILUTED_EPS","FQ1 2021","FQ1 2021","Currency=USD","Period=FQ","BEST_FPERIOD_OVERRIDE=FQ","FILING_STATUS=MR","Sort=A","Dates=H","DateFormat=P","Fill=—","Direction=H","UseDPDF=Y")</f>
        <v>117.08</v>
      </c>
      <c r="L54" s="13">
        <f>_xll.BDH("ALNY US Equity","IS_SH_FOR_DILUTED_EPS","FQ2 2021","FQ2 2021","Currency=USD","Period=FQ","BEST_FPERIOD_OVERRIDE=FQ","FILING_STATUS=MR","Sort=A","Dates=H","DateFormat=P","Fill=—","Direction=H","UseDPDF=Y")</f>
        <v>117.77200000000001</v>
      </c>
      <c r="M54" s="13">
        <f>_xll.BDH("ALNY US Equity","IS_SH_FOR_DILUTED_EPS","FQ3 2021","FQ3 2021","Currency=USD","Period=FQ","BEST_FPERIOD_OVERRIDE=FQ","FILING_STATUS=MR","Sort=A","Dates=H","DateFormat=P","Fill=—","Direction=H","UseDPDF=Y")</f>
        <v>119.14100000000001</v>
      </c>
      <c r="N54" s="13">
        <f>_xll.BDH("ALNY US Equity","IS_SH_FOR_DILUTED_EPS","FQ4 2021","FQ4 2021","Currency=USD","Period=FQ","BEST_FPERIOD_OVERRIDE=FQ","FILING_STATUS=MR","Sort=A","Dates=H","DateFormat=P","Fill=—","Direction=H","UseDPDF=Y")</f>
        <v>119.773</v>
      </c>
      <c r="O54" s="13">
        <f>_xll.BDH("ALNY US Equity","IS_SH_FOR_DILUTED_EPS","FQ1 2022","FQ1 2022","Currency=USD","Period=FQ","BEST_FPERIOD_OVERRIDE=FQ","FILING_STATUS=MR","Sort=A","Dates=H","DateFormat=P","Fill=—","Direction=H","UseDPDF=Y")</f>
        <v>120.393</v>
      </c>
      <c r="P54" s="13">
        <f>_xll.BDH("ALNY US Equity","IS_SH_FOR_DILUTED_EPS","FQ2 2022","FQ2 2022","Currency=USD","Period=FQ","BEST_FPERIOD_OVERRIDE=FQ","FILING_STATUS=MR","Sort=A","Dates=H","DateFormat=P","Fill=—","Direction=H","UseDPDF=Y")</f>
        <v>120.896</v>
      </c>
      <c r="Q54" s="13">
        <f>_xll.BDH("ALNY US Equity","IS_SH_FOR_DILUTED_EPS","FQ3 2022","FQ3 2022","Currency=USD","Period=FQ","BEST_FPERIOD_OVERRIDE=FQ","FILING_STATUS=MR","Sort=A","Dates=H","DateFormat=P","Fill=—","Direction=H","UseDPDF=Y")</f>
        <v>122.166</v>
      </c>
      <c r="R54" s="13">
        <f>_xll.BDH("ALNY US Equity","IS_SH_FOR_DILUTED_EPS","FQ4 2022","FQ4 2022","Currency=USD","Period=FQ","BEST_FPERIOD_OVERRIDE=FQ","FILING_STATUS=MR","Sort=A","Dates=H","DateFormat=P","Fill=—","Direction=H","UseDPDF=Y")</f>
        <v>123.26600000000001</v>
      </c>
      <c r="S54" s="13">
        <f>_xll.BDH("ALNY US Equity","IS_SH_FOR_DILUTED_EPS","FQ1 2023","FQ1 2023","Currency=USD","Period=FQ","BEST_FPERIOD_OVERRIDE=FQ","FILING_STATUS=MR","Sort=A","Dates=H","DateFormat=P","Fill=—","Direction=H","UseDPDF=Y")</f>
        <v>124.111</v>
      </c>
      <c r="T54" s="13">
        <f>_xll.BDH("ALNY US Equity","IS_SH_FOR_DILUTED_EPS","FQ2 2023","FQ2 2023","Currency=USD","Period=FQ","BEST_FPERIOD_OVERRIDE=FQ","FILING_STATUS=MR","Sort=A","Dates=H","DateFormat=P","Fill=—","Direction=H","UseDPDF=Y")</f>
        <v>124.65900000000001</v>
      </c>
      <c r="U54" s="13">
        <f>_xll.BDH("ALNY US Equity","IS_SH_FOR_DILUTED_EPS","FQ3 2023","FQ3 2023","Currency=USD","Period=FQ","BEST_FPERIOD_OVERRIDE=FQ","FILING_STATUS=MR","Sort=A","Dates=H","DateFormat=P","Fill=—","Direction=H","UseDPDF=Y")</f>
        <v>131.33699999999999</v>
      </c>
      <c r="V54" s="13">
        <f>_xll.BDH("ALNY US Equity","IS_SH_FOR_DILUTED_EPS","FQ4 2023","FQ4 2023","Currency=USD","Period=FQ","BEST_FPERIOD_OVERRIDE=FQ","FILING_STATUS=MR","Sort=A","Dates=H","DateFormat=P","Fill=—","Direction=H","UseDPDF=Y")</f>
        <v>125.613</v>
      </c>
      <c r="W54" s="13">
        <f>_xll.BDH("ALNY US Equity","IS_SH_FOR_DILUTED_EPS","FQ1 2024","FQ1 2024","Currency=USD","Period=FQ","BEST_FPERIOD_OVERRIDE=FQ","FILING_STATUS=MR","Sort=A","Dates=H","DateFormat=P","Fill=—","Direction=H","UseDPDF=Y")</f>
        <v>126.13800000000001</v>
      </c>
      <c r="X54" s="13">
        <f>_xll.BDH("ALNY US Equity","IS_SH_FOR_DILUTED_EPS","FQ2 2024","FQ2 2024","Currency=USD","Period=FQ","BEST_FPERIOD_OVERRIDE=FQ","FILING_STATUS=MR","Sort=A","Dates=H","DateFormat=P","Fill=—","Direction=H","UseDPDF=Y")</f>
        <v>126.733</v>
      </c>
      <c r="Y54" s="13">
        <f>_xll.BDH("ALNY US Equity","IS_SH_FOR_DILUTED_EPS","FQ3 2024","FQ3 2024","Currency=USD","Period=FQ","BEST_FPERIOD_OVERRIDE=FQ","FILING_STATUS=MR","Sort=A","Dates=H","DateFormat=P","Fill=—","Direction=H","UseDPDF=Y")</f>
        <v>128.59</v>
      </c>
      <c r="Z54" s="13">
        <f>_xll.BDH("ALNY US Equity","IS_SH_FOR_DILUTED_EPS","FQ4 2024","FQ4 2024","Currency=USD","Period=FQ","BEST_FPERIOD_OVERRIDE=FQ","FILING_STATUS=MR","Sort=A","Dates=H","DateFormat=P","Fill=—","Direction=H","UseDPDF=Y")</f>
        <v>129.11600000000001</v>
      </c>
    </row>
    <row r="55" spans="1:26" x14ac:dyDescent="0.25">
      <c r="A55" s="6" t="s">
        <v>142</v>
      </c>
      <c r="B55" s="6" t="s">
        <v>143</v>
      </c>
      <c r="C55" s="17">
        <f>_xll.BDH("ALNY US Equity","IS_DILUTED_EPS","FQ1 2019","FQ1 2019","Currency=USD","Period=FQ","BEST_FPERIOD_OVERRIDE=FQ","FILING_STATUS=MR","FA_ADJUSTED=GAAP","Sort=A","Dates=H","DateFormat=P","Fill=—","Direction=H","UseDPDF=Y")</f>
        <v>-1.73</v>
      </c>
      <c r="D55" s="17">
        <f>_xll.BDH("ALNY US Equity","IS_DILUTED_EPS","FQ2 2019","FQ2 2019","Currency=USD","Period=FQ","BEST_FPERIOD_OVERRIDE=FQ","FILING_STATUS=MR","FA_ADJUSTED=GAAP","Sort=A","Dates=H","DateFormat=P","Fill=—","Direction=H","UseDPDF=Y")</f>
        <v>-2.02</v>
      </c>
      <c r="E55" s="17">
        <f>_xll.BDH("ALNY US Equity","IS_DILUTED_EPS","FQ3 2019","FQ3 2019","Currency=USD","Period=FQ","BEST_FPERIOD_OVERRIDE=FQ","FILING_STATUS=MR","FA_ADJUSTED=GAAP","Sort=A","Dates=H","DateFormat=P","Fill=—","Direction=H","UseDPDF=Y")</f>
        <v>-1.92</v>
      </c>
      <c r="F55" s="17">
        <f>_xll.BDH("ALNY US Equity","IS_DILUTED_EPS","FQ4 2019","FQ4 2019","Currency=USD","Period=FQ","BEST_FPERIOD_OVERRIDE=FQ","FILING_STATUS=MR","FA_ADJUSTED=GAAP","Sort=A","Dates=H","DateFormat=P","Fill=—","Direction=H","UseDPDF=Y")</f>
        <v>-2.4700000000000002</v>
      </c>
      <c r="G55" s="17">
        <f>_xll.BDH("ALNY US Equity","IS_DILUTED_EPS","FQ1 2020","FQ1 2020","Currency=USD","Period=FQ","BEST_FPERIOD_OVERRIDE=FQ","FILING_STATUS=MR","FA_ADJUSTED=GAAP","Sort=A","Dates=H","DateFormat=P","Fill=—","Direction=H","UseDPDF=Y")</f>
        <v>-1.62</v>
      </c>
      <c r="H55" s="17">
        <f>_xll.BDH("ALNY US Equity","IS_DILUTED_EPS","FQ2 2020","FQ2 2020","Currency=USD","Period=FQ","BEST_FPERIOD_OVERRIDE=FQ","FILING_STATUS=MR","FA_ADJUSTED=GAAP","Sort=A","Dates=H","DateFormat=P","Fill=—","Direction=H","UseDPDF=Y")</f>
        <v>-1.56</v>
      </c>
      <c r="I55" s="17">
        <f>_xll.BDH("ALNY US Equity","IS_DILUTED_EPS","FQ3 2020","FQ3 2020","Currency=USD","Period=FQ","BEST_FPERIOD_OVERRIDE=FQ","FILING_STATUS=MR","FA_ADJUSTED=GAAP","Sort=A","Dates=H","DateFormat=P","Fill=—","Direction=H","UseDPDF=Y")</f>
        <v>-2.1800000000000002</v>
      </c>
      <c r="J55" s="17">
        <f>_xll.BDH("ALNY US Equity","IS_DILUTED_EPS","FQ4 2020","FQ4 2020","Currency=USD","Period=FQ","BEST_FPERIOD_OVERRIDE=FQ","FILING_STATUS=MR","FA_ADJUSTED=GAAP","Sort=A","Dates=H","DateFormat=P","Fill=—","Direction=H","UseDPDF=Y")</f>
        <v>-2.09</v>
      </c>
      <c r="K55" s="17">
        <f>_xll.BDH("ALNY US Equity","IS_DILUTED_EPS","FQ1 2021","FQ1 2021","Currency=USD","Period=FQ","BEST_FPERIOD_OVERRIDE=FQ","FILING_STATUS=MR","FA_ADJUSTED=GAAP","Sort=A","Dates=H","DateFormat=P","Fill=—","Direction=H","UseDPDF=Y")</f>
        <v>-1.71</v>
      </c>
      <c r="L55" s="17">
        <f>_xll.BDH("ALNY US Equity","IS_DILUTED_EPS","FQ2 2021","FQ2 2021","Currency=USD","Period=FQ","BEST_FPERIOD_OVERRIDE=FQ","FILING_STATUS=MR","FA_ADJUSTED=GAAP","Sort=A","Dates=H","DateFormat=P","Fill=—","Direction=H","UseDPDF=Y")</f>
        <v>-1.61</v>
      </c>
      <c r="M55" s="17">
        <f>_xll.BDH("ALNY US Equity","IS_DILUTED_EPS","FQ3 2021","FQ3 2021","Currency=USD","Period=FQ","BEST_FPERIOD_OVERRIDE=FQ","FILING_STATUS=MR","FA_ADJUSTED=GAAP","Sort=A","Dates=H","DateFormat=P","Fill=—","Direction=H","UseDPDF=Y")</f>
        <v>-1.72</v>
      </c>
      <c r="N55" s="17">
        <f>_xll.BDH("ALNY US Equity","IS_DILUTED_EPS","FQ4 2021","FQ4 2021","Currency=USD","Period=FQ","BEST_FPERIOD_OVERRIDE=FQ","FILING_STATUS=MR","FA_ADJUSTED=GAAP","Sort=A","Dates=H","DateFormat=P","Fill=—","Direction=H","UseDPDF=Y")</f>
        <v>-2.16</v>
      </c>
      <c r="O55" s="17">
        <f>_xll.BDH("ALNY US Equity","IS_DILUTED_EPS","FQ1 2022","FQ1 2022","Currency=USD","Period=FQ","BEST_FPERIOD_OVERRIDE=FQ","FILING_STATUS=MR","FA_ADJUSTED=GAAP","Sort=A","Dates=H","DateFormat=P","Fill=—","Direction=H","UseDPDF=Y")</f>
        <v>-2</v>
      </c>
      <c r="P55" s="17">
        <f>_xll.BDH("ALNY US Equity","IS_DILUTED_EPS","FQ2 2022","FQ2 2022","Currency=USD","Period=FQ","BEST_FPERIOD_OVERRIDE=FQ","FILING_STATUS=MR","FA_ADJUSTED=GAAP","Sort=A","Dates=H","DateFormat=P","Fill=—","Direction=H","UseDPDF=Y")</f>
        <v>-2.29</v>
      </c>
      <c r="Q55" s="17">
        <f>_xll.BDH("ALNY US Equity","IS_DILUTED_EPS","FQ3 2022","FQ3 2022","Currency=USD","Period=FQ","BEST_FPERIOD_OVERRIDE=FQ","FILING_STATUS=MR","FA_ADJUSTED=GAAP","Sort=A","Dates=H","DateFormat=P","Fill=—","Direction=H","UseDPDF=Y")</f>
        <v>-3.32</v>
      </c>
      <c r="R55" s="17">
        <f>_xll.BDH("ALNY US Equity","IS_DILUTED_EPS","FQ4 2022","FQ4 2022","Currency=USD","Period=FQ","BEST_FPERIOD_OVERRIDE=FQ","FILING_STATUS=MR","FA_ADJUSTED=GAAP","Sort=A","Dates=H","DateFormat=P","Fill=—","Direction=H","UseDPDF=Y")</f>
        <v>-1.68</v>
      </c>
      <c r="S55" s="17">
        <f>_xll.BDH("ALNY US Equity","IS_DILUTED_EPS","FQ1 2023","FQ1 2023","Currency=USD","Period=FQ","BEST_FPERIOD_OVERRIDE=FQ","FILING_STATUS=MR","FA_ADJUSTED=GAAP","Sort=A","Dates=H","DateFormat=P","Fill=—","Direction=H","UseDPDF=Y")</f>
        <v>-1.4</v>
      </c>
      <c r="T55" s="17">
        <f>_xll.BDH("ALNY US Equity","IS_DILUTED_EPS","FQ2 2023","FQ2 2023","Currency=USD","Period=FQ","BEST_FPERIOD_OVERRIDE=FQ","FILING_STATUS=MR","FA_ADJUSTED=GAAP","Sort=A","Dates=H","DateFormat=P","Fill=—","Direction=H","UseDPDF=Y")</f>
        <v>-2.21</v>
      </c>
      <c r="U55" s="17">
        <f>_xll.BDH("ALNY US Equity","IS_DILUTED_EPS","FQ3 2023","FQ3 2023","Currency=USD","Period=FQ","BEST_FPERIOD_OVERRIDE=FQ","FILING_STATUS=MR","FA_ADJUSTED=GAAP","Sort=A","Dates=H","DateFormat=P","Fill=—","Direction=H","UseDPDF=Y")</f>
        <v>1.1499999999999999</v>
      </c>
      <c r="V55" s="17">
        <f>_xll.BDH("ALNY US Equity","IS_DILUTED_EPS","FQ4 2023","FQ4 2023","Currency=USD","Period=FQ","BEST_FPERIOD_OVERRIDE=FQ","FILING_STATUS=MR","FA_ADJUSTED=GAAP","Sort=A","Dates=H","DateFormat=P","Fill=—","Direction=H","UseDPDF=Y")</f>
        <v>-1.1000000000000001</v>
      </c>
      <c r="W55" s="17">
        <f>_xll.BDH("ALNY US Equity","IS_DILUTED_EPS","FQ1 2024","FQ1 2024","Currency=USD","Period=FQ","BEST_FPERIOD_OVERRIDE=FQ","FILING_STATUS=MR","FA_ADJUSTED=GAAP","Sort=A","Dates=H","DateFormat=P","Fill=—","Direction=H","UseDPDF=Y")</f>
        <v>-0.52</v>
      </c>
      <c r="X55" s="17">
        <f>_xll.BDH("ALNY US Equity","IS_DILUTED_EPS","FQ2 2024","FQ2 2024","Currency=USD","Period=FQ","BEST_FPERIOD_OVERRIDE=FQ","FILING_STATUS=MR","FA_ADJUSTED=GAAP","Sort=A","Dates=H","DateFormat=P","Fill=—","Direction=H","UseDPDF=Y")</f>
        <v>-0.13</v>
      </c>
      <c r="Y55" s="17">
        <f>_xll.BDH("ALNY US Equity","IS_DILUTED_EPS","FQ3 2024","FQ3 2024","Currency=USD","Period=FQ","BEST_FPERIOD_OVERRIDE=FQ","FILING_STATUS=MR","FA_ADJUSTED=GAAP","Sort=A","Dates=H","DateFormat=P","Fill=—","Direction=H","UseDPDF=Y")</f>
        <v>-0.87</v>
      </c>
      <c r="Z55" s="17">
        <f>_xll.BDH("ALNY US Equity","IS_DILUTED_EPS","FQ4 2024","FQ4 2024","Currency=USD","Period=FQ","BEST_FPERIOD_OVERRIDE=FQ","FILING_STATUS=MR","FA_ADJUSTED=GAAP","Sort=A","Dates=H","DateFormat=P","Fill=—","Direction=H","UseDPDF=Y")</f>
        <v>-0.65</v>
      </c>
    </row>
    <row r="56" spans="1:26" x14ac:dyDescent="0.25">
      <c r="A56" s="6" t="s">
        <v>144</v>
      </c>
      <c r="B56" s="6" t="s">
        <v>145</v>
      </c>
      <c r="C56" s="17">
        <f>_xll.BDH("ALNY US Equity","IS_DIL_EPS_BEF_XO","FQ1 2019","FQ1 2019","Currency=USD","Period=FQ","BEST_FPERIOD_OVERRIDE=FQ","FILING_STATUS=MR","Sort=A","Dates=H","DateFormat=P","Fill=—","Direction=H","UseDPDF=Y")</f>
        <v>-1.73</v>
      </c>
      <c r="D56" s="17">
        <f>_xll.BDH("ALNY US Equity","IS_DIL_EPS_BEF_XO","FQ2 2019","FQ2 2019","Currency=USD","Period=FQ","BEST_FPERIOD_OVERRIDE=FQ","FILING_STATUS=MR","Sort=A","Dates=H","DateFormat=P","Fill=—","Direction=H","UseDPDF=Y")</f>
        <v>-2.02</v>
      </c>
      <c r="E56" s="17">
        <f>_xll.BDH("ALNY US Equity","IS_DIL_EPS_BEF_XO","FQ3 2019","FQ3 2019","Currency=USD","Period=FQ","BEST_FPERIOD_OVERRIDE=FQ","FILING_STATUS=MR","Sort=A","Dates=H","DateFormat=P","Fill=—","Direction=H","UseDPDF=Y")</f>
        <v>-1.92</v>
      </c>
      <c r="F56" s="17">
        <f>_xll.BDH("ALNY US Equity","IS_DIL_EPS_BEF_XO","FQ4 2019","FQ4 2019","Currency=USD","Period=FQ","BEST_FPERIOD_OVERRIDE=FQ","FILING_STATUS=MR","Sort=A","Dates=H","DateFormat=P","Fill=—","Direction=H","UseDPDF=Y")</f>
        <v>-2.4700000000000002</v>
      </c>
      <c r="G56" s="17">
        <f>_xll.BDH("ALNY US Equity","IS_DIL_EPS_BEF_XO","FQ1 2020","FQ1 2020","Currency=USD","Period=FQ","BEST_FPERIOD_OVERRIDE=FQ","FILING_STATUS=MR","Sort=A","Dates=H","DateFormat=P","Fill=—","Direction=H","UseDPDF=Y")</f>
        <v>-1.62</v>
      </c>
      <c r="H56" s="17">
        <f>_xll.BDH("ALNY US Equity","IS_DIL_EPS_BEF_XO","FQ2 2020","FQ2 2020","Currency=USD","Period=FQ","BEST_FPERIOD_OVERRIDE=FQ","FILING_STATUS=MR","Sort=A","Dates=H","DateFormat=P","Fill=—","Direction=H","UseDPDF=Y")</f>
        <v>-1.56</v>
      </c>
      <c r="I56" s="17">
        <f>_xll.BDH("ALNY US Equity","IS_DIL_EPS_BEF_XO","FQ3 2020","FQ3 2020","Currency=USD","Period=FQ","BEST_FPERIOD_OVERRIDE=FQ","FILING_STATUS=MR","Sort=A","Dates=H","DateFormat=P","Fill=—","Direction=H","UseDPDF=Y")</f>
        <v>-2.1800000000000002</v>
      </c>
      <c r="J56" s="17">
        <f>_xll.BDH("ALNY US Equity","IS_DIL_EPS_BEF_XO","FQ4 2020","FQ4 2020","Currency=USD","Period=FQ","BEST_FPERIOD_OVERRIDE=FQ","FILING_STATUS=MR","Sort=A","Dates=H","DateFormat=P","Fill=—","Direction=H","UseDPDF=Y")</f>
        <v>-2.09</v>
      </c>
      <c r="K56" s="17">
        <f>_xll.BDH("ALNY US Equity","IS_DIL_EPS_BEF_XO","FQ1 2021","FQ1 2021","Currency=USD","Period=FQ","BEST_FPERIOD_OVERRIDE=FQ","FILING_STATUS=MR","Sort=A","Dates=H","DateFormat=P","Fill=—","Direction=H","UseDPDF=Y")</f>
        <v>-1.71</v>
      </c>
      <c r="L56" s="17">
        <f>_xll.BDH("ALNY US Equity","IS_DIL_EPS_BEF_XO","FQ2 2021","FQ2 2021","Currency=USD","Period=FQ","BEST_FPERIOD_OVERRIDE=FQ","FILING_STATUS=MR","Sort=A","Dates=H","DateFormat=P","Fill=—","Direction=H","UseDPDF=Y")</f>
        <v>-1.61</v>
      </c>
      <c r="M56" s="17">
        <f>_xll.BDH("ALNY US Equity","IS_DIL_EPS_BEF_XO","FQ3 2021","FQ3 2021","Currency=USD","Period=FQ","BEST_FPERIOD_OVERRIDE=FQ","FILING_STATUS=MR","Sort=A","Dates=H","DateFormat=P","Fill=—","Direction=H","UseDPDF=Y")</f>
        <v>-1.72</v>
      </c>
      <c r="N56" s="17">
        <f>_xll.BDH("ALNY US Equity","IS_DIL_EPS_BEF_XO","FQ4 2021","FQ4 2021","Currency=USD","Period=FQ","BEST_FPERIOD_OVERRIDE=FQ","FILING_STATUS=MR","Sort=A","Dates=H","DateFormat=P","Fill=—","Direction=H","UseDPDF=Y")</f>
        <v>-2.16</v>
      </c>
      <c r="O56" s="17">
        <f>_xll.BDH("ALNY US Equity","IS_DIL_EPS_BEF_XO","FQ1 2022","FQ1 2022","Currency=USD","Period=FQ","BEST_FPERIOD_OVERRIDE=FQ","FILING_STATUS=MR","Sort=A","Dates=H","DateFormat=P","Fill=—","Direction=H","UseDPDF=Y")</f>
        <v>-2</v>
      </c>
      <c r="P56" s="17">
        <f>_xll.BDH("ALNY US Equity","IS_DIL_EPS_BEF_XO","FQ2 2022","FQ2 2022","Currency=USD","Period=FQ","BEST_FPERIOD_OVERRIDE=FQ","FILING_STATUS=MR","Sort=A","Dates=H","DateFormat=P","Fill=—","Direction=H","UseDPDF=Y")</f>
        <v>-2.29</v>
      </c>
      <c r="Q56" s="17">
        <f>_xll.BDH("ALNY US Equity","IS_DIL_EPS_BEF_XO","FQ3 2022","FQ3 2022","Currency=USD","Period=FQ","BEST_FPERIOD_OVERRIDE=FQ","FILING_STATUS=MR","Sort=A","Dates=H","DateFormat=P","Fill=—","Direction=H","UseDPDF=Y")</f>
        <v>-3.32</v>
      </c>
      <c r="R56" s="17">
        <f>_xll.BDH("ALNY US Equity","IS_DIL_EPS_BEF_XO","FQ4 2022","FQ4 2022","Currency=USD","Period=FQ","BEST_FPERIOD_OVERRIDE=FQ","FILING_STATUS=MR","Sort=A","Dates=H","DateFormat=P","Fill=—","Direction=H","UseDPDF=Y")</f>
        <v>-1.68</v>
      </c>
      <c r="S56" s="17">
        <f>_xll.BDH("ALNY US Equity","IS_DIL_EPS_BEF_XO","FQ1 2023","FQ1 2023","Currency=USD","Period=FQ","BEST_FPERIOD_OVERRIDE=FQ","FILING_STATUS=MR","Sort=A","Dates=H","DateFormat=P","Fill=—","Direction=H","UseDPDF=Y")</f>
        <v>-1.4</v>
      </c>
      <c r="T56" s="17">
        <f>_xll.BDH("ALNY US Equity","IS_DIL_EPS_BEF_XO","FQ2 2023","FQ2 2023","Currency=USD","Period=FQ","BEST_FPERIOD_OVERRIDE=FQ","FILING_STATUS=MR","Sort=A","Dates=H","DateFormat=P","Fill=—","Direction=H","UseDPDF=Y")</f>
        <v>-2.21</v>
      </c>
      <c r="U56" s="17">
        <f>_xll.BDH("ALNY US Equity","IS_DIL_EPS_BEF_XO","FQ3 2023","FQ3 2023","Currency=USD","Period=FQ","BEST_FPERIOD_OVERRIDE=FQ","FILING_STATUS=MR","Sort=A","Dates=H","DateFormat=P","Fill=—","Direction=H","UseDPDF=Y")</f>
        <v>1.1499999999999999</v>
      </c>
      <c r="V56" s="17">
        <f>_xll.BDH("ALNY US Equity","IS_DIL_EPS_BEF_XO","FQ4 2023","FQ4 2023","Currency=USD","Period=FQ","BEST_FPERIOD_OVERRIDE=FQ","FILING_STATUS=MR","Sort=A","Dates=H","DateFormat=P","Fill=—","Direction=H","UseDPDF=Y")</f>
        <v>-1.1000000000000001</v>
      </c>
      <c r="W56" s="17">
        <f>_xll.BDH("ALNY US Equity","IS_DIL_EPS_BEF_XO","FQ1 2024","FQ1 2024","Currency=USD","Period=FQ","BEST_FPERIOD_OVERRIDE=FQ","FILING_STATUS=MR","Sort=A","Dates=H","DateFormat=P","Fill=—","Direction=H","UseDPDF=Y")</f>
        <v>-0.52</v>
      </c>
      <c r="X56" s="17">
        <f>_xll.BDH("ALNY US Equity","IS_DIL_EPS_BEF_XO","FQ2 2024","FQ2 2024","Currency=USD","Period=FQ","BEST_FPERIOD_OVERRIDE=FQ","FILING_STATUS=MR","Sort=A","Dates=H","DateFormat=P","Fill=—","Direction=H","UseDPDF=Y")</f>
        <v>-0.13</v>
      </c>
      <c r="Y56" s="17">
        <f>_xll.BDH("ALNY US Equity","IS_DIL_EPS_BEF_XO","FQ3 2024","FQ3 2024","Currency=USD","Period=FQ","BEST_FPERIOD_OVERRIDE=FQ","FILING_STATUS=MR","Sort=A","Dates=H","DateFormat=P","Fill=—","Direction=H","UseDPDF=Y")</f>
        <v>-0.87</v>
      </c>
      <c r="Z56" s="17">
        <f>_xll.BDH("ALNY US Equity","IS_DIL_EPS_BEF_XO","FQ4 2024","FQ4 2024","Currency=USD","Period=FQ","BEST_FPERIOD_OVERRIDE=FQ","FILING_STATUS=MR","Sort=A","Dates=H","DateFormat=P","Fill=—","Direction=H","UseDPDF=Y")</f>
        <v>-0.65</v>
      </c>
    </row>
    <row r="57" spans="1:26" x14ac:dyDescent="0.25">
      <c r="A57" s="6" t="s">
        <v>146</v>
      </c>
      <c r="B57" s="6" t="s">
        <v>147</v>
      </c>
      <c r="C57" s="17">
        <f>_xll.BDH("ALNY US Equity","IS_DIL_EPS_CONT_OPS","FQ1 2019","FQ1 2019","Currency=USD","Period=FQ","BEST_FPERIOD_OVERRIDE=FQ","FILING_STATUS=MR","Sort=A","Dates=H","DateFormat=P","Fill=—","Direction=H","UseDPDF=Y")</f>
        <v>-1.73</v>
      </c>
      <c r="D57" s="17">
        <f>_xll.BDH("ALNY US Equity","IS_DIL_EPS_CONT_OPS","FQ2 2019","FQ2 2019","Currency=USD","Period=FQ","BEST_FPERIOD_OVERRIDE=FQ","FILING_STATUS=MR","Sort=A","Dates=H","DateFormat=P","Fill=—","Direction=H","UseDPDF=Y")</f>
        <v>-2.1082000000000001</v>
      </c>
      <c r="E57" s="17">
        <f>_xll.BDH("ALNY US Equity","IS_DIL_EPS_CONT_OPS","FQ3 2019","FQ3 2019","Currency=USD","Period=FQ","BEST_FPERIOD_OVERRIDE=FQ","FILING_STATUS=MR","Sort=A","Dates=H","DateFormat=P","Fill=—","Direction=H","UseDPDF=Y")</f>
        <v>-1.92</v>
      </c>
      <c r="F57" s="17">
        <f>_xll.BDH("ALNY US Equity","IS_DIL_EPS_CONT_OPS","FQ4 2019","FQ4 2019","Currency=USD","Period=FQ","BEST_FPERIOD_OVERRIDE=FQ","FILING_STATUS=MR","Sort=A","Dates=H","DateFormat=P","Fill=—","Direction=H","UseDPDF=Y")</f>
        <v>-2.5722999999999998</v>
      </c>
      <c r="G57" s="17">
        <f>_xll.BDH("ALNY US Equity","IS_DIL_EPS_CONT_OPS","FQ1 2020","FQ1 2020","Currency=USD","Period=FQ","BEST_FPERIOD_OVERRIDE=FQ","FILING_STATUS=MR","Sort=A","Dates=H","DateFormat=P","Fill=—","Direction=H","UseDPDF=Y")</f>
        <v>-1.8338000000000001</v>
      </c>
      <c r="H57" s="17">
        <f>_xll.BDH("ALNY US Equity","IS_DIL_EPS_CONT_OPS","FQ2 2020","FQ2 2020","Currency=USD","Period=FQ","BEST_FPERIOD_OVERRIDE=FQ","FILING_STATUS=MR","Sort=A","Dates=H","DateFormat=P","Fill=—","Direction=H","UseDPDF=Y")</f>
        <v>-1.9590000000000001</v>
      </c>
      <c r="I57" s="17">
        <f>_xll.BDH("ALNY US Equity","IS_DIL_EPS_CONT_OPS","FQ3 2020","FQ3 2020","Currency=USD","Period=FQ","BEST_FPERIOD_OVERRIDE=FQ","FILING_STATUS=MR","Sort=A","Dates=H","DateFormat=P","Fill=—","Direction=H","UseDPDF=Y")</f>
        <v>-1.9041999999999999</v>
      </c>
      <c r="J57" s="17">
        <f>_xll.BDH("ALNY US Equity","IS_DIL_EPS_CONT_OPS","FQ4 2020","FQ4 2020","Currency=USD","Period=FQ","BEST_FPERIOD_OVERRIDE=FQ","FILING_STATUS=MR","Sort=A","Dates=H","DateFormat=P","Fill=—","Direction=H","UseDPDF=Y")</f>
        <v>-1.8984000000000001</v>
      </c>
      <c r="K57" s="17">
        <f>_xll.BDH("ALNY US Equity","IS_DIL_EPS_CONT_OPS","FQ1 2021","FQ1 2021","Currency=USD","Period=FQ","BEST_FPERIOD_OVERRIDE=FQ","FILING_STATUS=MR","Sort=A","Dates=H","DateFormat=P","Fill=—","Direction=H","UseDPDF=Y")</f>
        <v>-2.1122999999999998</v>
      </c>
      <c r="L57" s="17">
        <f>_xll.BDH("ALNY US Equity","IS_DIL_EPS_CONT_OPS","FQ2 2021","FQ2 2021","Currency=USD","Period=FQ","BEST_FPERIOD_OVERRIDE=FQ","FILING_STATUS=MR","Sort=A","Dates=H","DateFormat=P","Fill=—","Direction=H","UseDPDF=Y")</f>
        <v>-1.5724</v>
      </c>
      <c r="M57" s="17">
        <f>_xll.BDH("ALNY US Equity","IS_DIL_EPS_CONT_OPS","FQ3 2021","FQ3 2021","Currency=USD","Period=FQ","BEST_FPERIOD_OVERRIDE=FQ","FILING_STATUS=MR","Sort=A","Dates=H","DateFormat=P","Fill=—","Direction=H","UseDPDF=Y")</f>
        <v>-1.7928999999999999</v>
      </c>
      <c r="N57" s="17">
        <f>_xll.BDH("ALNY US Equity","IS_DIL_EPS_CONT_OPS","FQ4 2021","FQ4 2021","Currency=USD","Period=FQ","BEST_FPERIOD_OVERRIDE=FQ","FILING_STATUS=MR","Sort=A","Dates=H","DateFormat=P","Fill=—","Direction=H","UseDPDF=Y")</f>
        <v>-2.1133999999999999</v>
      </c>
      <c r="O57" s="17">
        <f>_xll.BDH("ALNY US Equity","IS_DIL_EPS_CONT_OPS","FQ1 2022","FQ1 2022","Currency=USD","Period=FQ","BEST_FPERIOD_OVERRIDE=FQ","FILING_STATUS=MR","Sort=A","Dates=H","DateFormat=P","Fill=—","Direction=H","UseDPDF=Y")</f>
        <v>-1.7412000000000001</v>
      </c>
      <c r="P57" s="17">
        <f>_xll.BDH("ALNY US Equity","IS_DIL_EPS_CONT_OPS","FQ2 2022","FQ2 2022","Currency=USD","Period=FQ","BEST_FPERIOD_OVERRIDE=FQ","FILING_STATUS=MR","Sort=A","Dates=H","DateFormat=P","Fill=—","Direction=H","UseDPDF=Y")</f>
        <v>-2.2854999999999999</v>
      </c>
      <c r="Q57" s="17">
        <f>_xll.BDH("ALNY US Equity","IS_DIL_EPS_CONT_OPS","FQ3 2022","FQ3 2022","Currency=USD","Period=FQ","BEST_FPERIOD_OVERRIDE=FQ","FILING_STATUS=MR","Sort=A","Dates=H","DateFormat=P","Fill=—","Direction=H","UseDPDF=Y")</f>
        <v>-2.6315</v>
      </c>
      <c r="R57" s="17">
        <f>_xll.BDH("ALNY US Equity","IS_DIL_EPS_CONT_OPS","FQ4 2022","FQ4 2022","Currency=USD","Period=FQ","BEST_FPERIOD_OVERRIDE=FQ","FILING_STATUS=MR","Sort=A","Dates=H","DateFormat=P","Fill=—","Direction=H","UseDPDF=Y")</f>
        <v>-1.7383999999999999</v>
      </c>
      <c r="S57" s="17">
        <f>_xll.BDH("ALNY US Equity","IS_DIL_EPS_CONT_OPS","FQ1 2023","FQ1 2023","Currency=USD","Period=FQ","BEST_FPERIOD_OVERRIDE=FQ","FILING_STATUS=MR","Sort=A","Dates=H","DateFormat=P","Fill=—","Direction=H","UseDPDF=Y")</f>
        <v>-1.3845000000000001</v>
      </c>
      <c r="T57" s="17">
        <f>_xll.BDH("ALNY US Equity","IS_DIL_EPS_CONT_OPS","FQ2 2023","FQ2 2023","Currency=USD","Period=FQ","BEST_FPERIOD_OVERRIDE=FQ","FILING_STATUS=MR","Sort=A","Dates=H","DateFormat=P","Fill=—","Direction=H","UseDPDF=Y")</f>
        <v>-2.2254999999999998</v>
      </c>
      <c r="U57" s="17">
        <f>_xll.BDH("ALNY US Equity","IS_DIL_EPS_CONT_OPS","FQ3 2023","FQ3 2023","Currency=USD","Period=FQ","BEST_FPERIOD_OVERRIDE=FQ","FILING_STATUS=MR","Sort=A","Dates=H","DateFormat=P","Fill=—","Direction=H","UseDPDF=Y")</f>
        <v>1.2783</v>
      </c>
      <c r="V57" s="17">
        <f>_xll.BDH("ALNY US Equity","IS_DIL_EPS_CONT_OPS","FQ4 2023","FQ4 2023","Currency=USD","Period=FQ","BEST_FPERIOD_OVERRIDE=FQ","FILING_STATUS=MR","Sort=A","Dates=H","DateFormat=P","Fill=—","Direction=H","UseDPDF=Y")</f>
        <v>-1.1061000000000001</v>
      </c>
      <c r="W57" s="17">
        <f>_xll.BDH("ALNY US Equity","IS_DIL_EPS_CONT_OPS","FQ1 2024","FQ1 2024","Currency=USD","Period=FQ","BEST_FPERIOD_OVERRIDE=FQ","FILING_STATUS=MR","Sort=A","Dates=H","DateFormat=P","Fill=—","Direction=H","UseDPDF=Y")</f>
        <v>-0.52329999999999999</v>
      </c>
      <c r="X57" s="17">
        <f>_xll.BDH("ALNY US Equity","IS_DIL_EPS_CONT_OPS","FQ2 2024","FQ2 2024","Currency=USD","Period=FQ","BEST_FPERIOD_OVERRIDE=FQ","FILING_STATUS=MR","Sort=A","Dates=H","DateFormat=P","Fill=—","Direction=H","UseDPDF=Y")</f>
        <v>-0.1225</v>
      </c>
      <c r="Y57" s="17">
        <f>_xll.BDH("ALNY US Equity","IS_DIL_EPS_CONT_OPS","FQ3 2024","FQ3 2024","Currency=USD","Period=FQ","BEST_FPERIOD_OVERRIDE=FQ","FILING_STATUS=MR","Sort=A","Dates=H","DateFormat=P","Fill=—","Direction=H","UseDPDF=Y")</f>
        <v>-0.85780000000000001</v>
      </c>
      <c r="Z57" s="17">
        <f>_xll.BDH("ALNY US Equity","IS_DIL_EPS_CONT_OPS","FQ4 2024","FQ4 2024","Currency=USD","Period=FQ","BEST_FPERIOD_OVERRIDE=FQ","FILING_STATUS=MR","Sort=A","Dates=H","DateFormat=P","Fill=—","Direction=H","UseDPDF=Y")</f>
        <v>-0.64870000000000005</v>
      </c>
    </row>
    <row r="58" spans="1:26" x14ac:dyDescent="0.25">
      <c r="A58" s="6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6" t="s">
        <v>2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0" t="s">
        <v>148</v>
      </c>
      <c r="B60" s="10" t="s">
        <v>149</v>
      </c>
      <c r="C60" s="12" t="s">
        <v>150</v>
      </c>
      <c r="D60" s="12" t="s">
        <v>150</v>
      </c>
      <c r="E60" s="12" t="s">
        <v>150</v>
      </c>
      <c r="F60" s="12" t="s">
        <v>150</v>
      </c>
      <c r="G60" s="12" t="s">
        <v>150</v>
      </c>
      <c r="H60" s="12" t="s">
        <v>150</v>
      </c>
      <c r="I60" s="12" t="s">
        <v>150</v>
      </c>
      <c r="J60" s="12" t="s">
        <v>150</v>
      </c>
      <c r="K60" s="12" t="s">
        <v>150</v>
      </c>
      <c r="L60" s="12" t="s">
        <v>150</v>
      </c>
      <c r="M60" s="12" t="s">
        <v>150</v>
      </c>
      <c r="N60" s="12" t="s">
        <v>150</v>
      </c>
      <c r="O60" s="12" t="s">
        <v>150</v>
      </c>
      <c r="P60" s="12" t="s">
        <v>150</v>
      </c>
      <c r="Q60" s="12" t="s">
        <v>150</v>
      </c>
      <c r="R60" s="12" t="s">
        <v>150</v>
      </c>
      <c r="S60" s="12" t="s">
        <v>150</v>
      </c>
      <c r="T60" s="12" t="s">
        <v>150</v>
      </c>
      <c r="U60" s="12" t="s">
        <v>150</v>
      </c>
      <c r="V60" s="12" t="s">
        <v>150</v>
      </c>
      <c r="W60" s="12" t="s">
        <v>150</v>
      </c>
      <c r="X60" s="12" t="s">
        <v>150</v>
      </c>
      <c r="Y60" s="12" t="s">
        <v>150</v>
      </c>
      <c r="Z60" s="12" t="s">
        <v>150</v>
      </c>
    </row>
    <row r="61" spans="1:26" x14ac:dyDescent="0.25">
      <c r="A61" s="10" t="s">
        <v>151</v>
      </c>
      <c r="B61" s="10" t="s">
        <v>151</v>
      </c>
      <c r="C61" s="13">
        <f>_xll.BDH("ALNY US Equity","EBITDA","FQ1 2019","FQ1 2019","Currency=USD","Period=FQ","BEST_FPERIOD_OVERRIDE=FQ","FILING_STATUS=MR","SCALING_FORMAT=MLN","FA_ADJUSTED=Adjusted","Sort=A","Dates=H","DateFormat=P","Fill=—","Direction=H","UseDPDF=Y")</f>
        <v>-167.28800000000001</v>
      </c>
      <c r="D61" s="13">
        <f>_xll.BDH("ALNY US Equity","EBITDA","FQ2 2019","FQ2 2019","Currency=USD","Period=FQ","BEST_FPERIOD_OVERRIDE=FQ","FILING_STATUS=MR","SCALING_FORMAT=MLN","FA_ADJUSTED=Adjusted","Sort=A","Dates=H","DateFormat=P","Fill=—","Direction=H","UseDPDF=Y")</f>
        <v>-217.23500000000001</v>
      </c>
      <c r="E61" s="13">
        <f>_xll.BDH("ALNY US Equity","EBITDA","FQ3 2019","FQ3 2019","Currency=USD","Period=FQ","BEST_FPERIOD_OVERRIDE=FQ","FILING_STATUS=MR","SCALING_FORMAT=MLN","FA_ADJUSTED=Adjusted","Sort=A","Dates=H","DateFormat=P","Fill=—","Direction=H","UseDPDF=Y")</f>
        <v>-189.36600000000001</v>
      </c>
      <c r="F61" s="13">
        <f>_xll.BDH("ALNY US Equity","EBITDA","FQ4 2019","FQ4 2019","Currency=USD","Period=FQ","BEST_FPERIOD_OVERRIDE=FQ","FILING_STATUS=MR","SCALING_FORMAT=MLN","FA_ADJUSTED=Adjusted","Sort=A","Dates=H","DateFormat=P","Fill=—","Direction=H","UseDPDF=Y")</f>
        <v>-272.56099999999998</v>
      </c>
      <c r="G61" s="13">
        <f>_xll.BDH("ALNY US Equity","EBITDA","FQ1 2020","FQ1 2020","Currency=USD","Period=FQ","BEST_FPERIOD_OVERRIDE=FQ","FILING_STATUS=MR","SCALING_FORMAT=MLN","FA_ADJUSTED=Adjusted","Sort=A","Dates=H","DateFormat=P","Fill=—","Direction=H","UseDPDF=Y")</f>
        <v>-193.15199999999999</v>
      </c>
      <c r="H61" s="13">
        <f>_xll.BDH("ALNY US Equity","EBITDA","FQ2 2020","FQ2 2020","Currency=USD","Period=FQ","BEST_FPERIOD_OVERRIDE=FQ","FILING_STATUS=MR","SCALING_FORMAT=MLN","FA_ADJUSTED=Adjusted","Sort=A","Dates=H","DateFormat=P","Fill=—","Direction=H","UseDPDF=Y")</f>
        <v>-181.8937</v>
      </c>
      <c r="I61" s="13">
        <f>_xll.BDH("ALNY US Equity","EBITDA","FQ3 2020","FQ3 2020","Currency=USD","Period=FQ","BEST_FPERIOD_OVERRIDE=FQ","FILING_STATUS=MR","SCALING_FORMAT=MLN","FA_ADJUSTED=Adjusted","Sort=A","Dates=H","DateFormat=P","Fill=—","Direction=H","UseDPDF=Y")</f>
        <v>-177.01499999999999</v>
      </c>
      <c r="J61" s="13">
        <f>_xll.BDH("ALNY US Equity","EBITDA","FQ4 2020","FQ4 2020","Currency=USD","Period=FQ","BEST_FPERIOD_OVERRIDE=FQ","FILING_STATUS=MR","SCALING_FORMAT=MLN","FA_ADJUSTED=Adjusted","Sort=A","Dates=H","DateFormat=P","Fill=—","Direction=H","UseDPDF=Y")</f>
        <v>-163.126</v>
      </c>
      <c r="K61" s="13">
        <f>_xll.BDH("ALNY US Equity","EBITDA","FQ1 2021","FQ1 2021","Currency=USD","Period=FQ","BEST_FPERIOD_OVERRIDE=FQ","FILING_STATUS=MR","SCALING_FORMAT=MLN","FA_ADJUSTED=Adjusted","Sort=A","Dates=H","DateFormat=P","Fill=—","Direction=H","UseDPDF=Y")</f>
        <v>-163.392</v>
      </c>
      <c r="L61" s="13">
        <f>_xll.BDH("ALNY US Equity","EBITDA","FQ2 2021","FQ2 2021","Currency=USD","Period=FQ","BEST_FPERIOD_OVERRIDE=FQ","FILING_STATUS=MR","SCALING_FORMAT=MLN","FA_ADJUSTED=Adjusted","Sort=A","Dates=H","DateFormat=P","Fill=—","Direction=H","UseDPDF=Y")</f>
        <v>-123.999</v>
      </c>
      <c r="M61" s="13">
        <f>_xll.BDH("ALNY US Equity","EBITDA","FQ3 2021","FQ3 2021","Currency=USD","Period=FQ","BEST_FPERIOD_OVERRIDE=FQ","FILING_STATUS=MR","SCALING_FORMAT=MLN","FA_ADJUSTED=Adjusted","Sort=A","Dates=H","DateFormat=P","Fill=—","Direction=H","UseDPDF=Y")</f>
        <v>-148.45699999999999</v>
      </c>
      <c r="N61" s="13">
        <f>_xll.BDH("ALNY US Equity","EBITDA","FQ4 2021","FQ4 2021","Currency=USD","Period=FQ","BEST_FPERIOD_OVERRIDE=FQ","FILING_STATUS=MR","SCALING_FORMAT=MLN","FA_ADJUSTED=Adjusted","Sort=A","Dates=H","DateFormat=P","Fill=—","Direction=H","UseDPDF=Y")</f>
        <v>-173.11</v>
      </c>
      <c r="O61" s="13">
        <f>_xll.BDH("ALNY US Equity","EBITDA","FQ1 2022","FQ1 2022","Currency=USD","Period=FQ","BEST_FPERIOD_OVERRIDE=FQ","FILING_STATUS=MR","SCALING_FORMAT=MLN","FA_ADJUSTED=Adjusted","Sort=A","Dates=H","DateFormat=P","Fill=—","Direction=H","UseDPDF=Y")</f>
        <v>-126.95399999999999</v>
      </c>
      <c r="P61" s="13">
        <f>_xll.BDH("ALNY US Equity","EBITDA","FQ2 2022","FQ2 2022","Currency=USD","Period=FQ","BEST_FPERIOD_OVERRIDE=FQ","FILING_STATUS=MR","SCALING_FORMAT=MLN","FA_ADJUSTED=Adjusted","Sort=A","Dates=H","DateFormat=P","Fill=—","Direction=H","UseDPDF=Y")</f>
        <v>-171.44900000000001</v>
      </c>
      <c r="Q61" s="13">
        <f>_xll.BDH("ALNY US Equity","EBITDA","FQ3 2022","FQ3 2022","Currency=USD","Period=FQ","BEST_FPERIOD_OVERRIDE=FQ","FILING_STATUS=MR","SCALING_FORMAT=MLN","FA_ADJUSTED=Adjusted","Sort=A","Dates=H","DateFormat=P","Fill=—","Direction=H","UseDPDF=Y")</f>
        <v>-237.39</v>
      </c>
      <c r="R61" s="13">
        <f>_xll.BDH("ALNY US Equity","EBITDA","FQ4 2022","FQ4 2022","Currency=USD","Period=FQ","BEST_FPERIOD_OVERRIDE=FQ","FILING_STATUS=MR","SCALING_FORMAT=MLN","FA_ADJUSTED=Adjusted","Sort=A","Dates=H","DateFormat=P","Fill=—","Direction=H","UseDPDF=Y")</f>
        <v>-163.72900000000001</v>
      </c>
      <c r="S61" s="13">
        <f>_xll.BDH("ALNY US Equity","EBITDA","FQ1 2023","FQ1 2023","Currency=USD","Period=FQ","BEST_FPERIOD_OVERRIDE=FQ","FILING_STATUS=MR","SCALING_FORMAT=MLN","FA_ADJUSTED=Adjusted","Sort=A","Dates=H","DateFormat=P","Fill=—","Direction=H","UseDPDF=Y")</f>
        <v>-123.72799999999999</v>
      </c>
      <c r="T61" s="13">
        <f>_xll.BDH("ALNY US Equity","EBITDA","FQ2 2023","FQ2 2023","Currency=USD","Period=FQ","BEST_FPERIOD_OVERRIDE=FQ","FILING_STATUS=MR","SCALING_FORMAT=MLN","FA_ADJUSTED=Adjusted","Sort=A","Dates=H","DateFormat=P","Fill=—","Direction=H","UseDPDF=Y")</f>
        <v>-206.38399999999999</v>
      </c>
      <c r="U61" s="13">
        <f>_xll.BDH("ALNY US Equity","EBITDA","FQ3 2023","FQ3 2023","Currency=USD","Period=FQ","BEST_FPERIOD_OVERRIDE=FQ","FILING_STATUS=MR","SCALING_FORMAT=MLN","FA_ADJUSTED=Adjusted","Sort=A","Dates=H","DateFormat=P","Fill=—","Direction=H","UseDPDF=Y")</f>
        <v>237.399</v>
      </c>
      <c r="V61" s="13">
        <f>_xll.BDH("ALNY US Equity","EBITDA","FQ4 2023","FQ4 2023","Currency=USD","Period=FQ","BEST_FPERIOD_OVERRIDE=FQ","FILING_STATUS=MR","SCALING_FORMAT=MLN","FA_ADJUSTED=Adjusted","Sort=A","Dates=H","DateFormat=P","Fill=—","Direction=H","UseDPDF=Y")</f>
        <v>-92.430999999999997</v>
      </c>
      <c r="W61" s="13">
        <f>_xll.BDH("ALNY US Equity","EBITDA","FQ1 2024","FQ1 2024","Currency=USD","Period=FQ","BEST_FPERIOD_OVERRIDE=FQ","FILING_STATUS=MR","SCALING_FORMAT=MLN","FA_ADJUSTED=Adjusted","Sort=A","Dates=H","DateFormat=P","Fill=—","Direction=H","UseDPDF=Y")</f>
        <v>-17.949000000000002</v>
      </c>
      <c r="X61" s="13">
        <f>_xll.BDH("ALNY US Equity","EBITDA","FQ2 2024","FQ2 2024","Currency=USD","Period=FQ","BEST_FPERIOD_OVERRIDE=FQ","FILING_STATUS=MR","SCALING_FORMAT=MLN","FA_ADJUSTED=Adjusted","Sort=A","Dates=H","DateFormat=P","Fill=—","Direction=H","UseDPDF=Y")</f>
        <v>73.305999999999997</v>
      </c>
      <c r="Y61" s="13">
        <f>_xll.BDH("ALNY US Equity","EBITDA","FQ3 2024","FQ3 2024","Currency=USD","Period=FQ","BEST_FPERIOD_OVERRIDE=FQ","FILING_STATUS=MR","SCALING_FORMAT=MLN","FA_ADJUSTED=Adjusted","Sort=A","Dates=H","DateFormat=P","Fill=—","Direction=H","UseDPDF=Y")</f>
        <v>-49.866999999999997</v>
      </c>
      <c r="Z61" s="13">
        <f>_xll.BDH("ALNY US Equity","EBITDA","FQ4 2024","FQ4 2024","Currency=USD","Period=FQ","BEST_FPERIOD_OVERRIDE=FQ","FILING_STATUS=MR","SCALING_FORMAT=MLN","FA_ADJUSTED=Adjusted","Sort=A","Dates=H","DateFormat=P","Fill=—","Direction=H","UseDPDF=Y")</f>
        <v>-90.991</v>
      </c>
    </row>
    <row r="62" spans="1:26" x14ac:dyDescent="0.25">
      <c r="A62" s="10" t="s">
        <v>152</v>
      </c>
      <c r="B62" s="10" t="s">
        <v>153</v>
      </c>
      <c r="C62" s="14">
        <f>_xll.BDH("ALNY US Equity","EBITDA_MARGIN","FQ1 2019","FQ1 2019","Currency=USD","Period=FQ","BEST_FPERIOD_OVERRIDE=FQ","FILING_STATUS=MR","FA_ADJUSTED=Adjusted","Sort=A","Dates=H","DateFormat=P","Fill=—","Direction=H","UseDPDF=Y")</f>
        <v>-963.23299999999995</v>
      </c>
      <c r="D62" s="14">
        <f>_xll.BDH("ALNY US Equity","EBITDA_MARGIN","FQ2 2019","FQ2 2019","Currency=USD","Period=FQ","BEST_FPERIOD_OVERRIDE=FQ","FILING_STATUS=MR","FA_ADJUSTED=Adjusted","Sort=A","Dates=H","DateFormat=P","Fill=—","Direction=H","UseDPDF=Y")</f>
        <v>-848.99519999999995</v>
      </c>
      <c r="E62" s="14">
        <f>_xll.BDH("ALNY US Equity","EBITDA_MARGIN","FQ3 2019","FQ3 2019","Currency=USD","Period=FQ","BEST_FPERIOD_OVERRIDE=FQ","FILING_STATUS=MR","FA_ADJUSTED=Adjusted","Sort=A","Dates=H","DateFormat=P","Fill=—","Direction=H","UseDPDF=Y")</f>
        <v>-471.00150000000002</v>
      </c>
      <c r="F62" s="14">
        <f>_xll.BDH("ALNY US Equity","EBITDA_MARGIN","FQ4 2019","FQ4 2019","Currency=USD","Period=FQ","BEST_FPERIOD_OVERRIDE=FQ","FILING_STATUS=MR","FA_ADJUSTED=Adjusted","Sort=A","Dates=H","DateFormat=P","Fill=—","Direction=H","UseDPDF=Y")</f>
        <v>-385.18770000000001</v>
      </c>
      <c r="G62" s="14">
        <f>_xll.BDH("ALNY US Equity","EBITDA_MARGIN","FQ1 2020","FQ1 2020","Currency=USD","Period=FQ","BEST_FPERIOD_OVERRIDE=FQ","FILING_STATUS=MR","FA_ADJUSTED=Adjusted","Sort=A","Dates=H","DateFormat=P","Fill=—","Direction=H","UseDPDF=Y")</f>
        <v>-305.07740000000001</v>
      </c>
      <c r="H62" s="14">
        <f>_xll.BDH("ALNY US Equity","EBITDA_MARGIN","FQ2 2020","FQ2 2020","Currency=USD","Period=FQ","BEST_FPERIOD_OVERRIDE=FQ","FILING_STATUS=MR","FA_ADJUSTED=Adjusted","Sort=A","Dates=H","DateFormat=P","Fill=—","Direction=H","UseDPDF=Y")</f>
        <v>-242.4743</v>
      </c>
      <c r="I62" s="14">
        <f>_xll.BDH("ALNY US Equity","EBITDA_MARGIN","FQ3 2020","FQ3 2020","Currency=USD","Period=FQ","BEST_FPERIOD_OVERRIDE=FQ","FILING_STATUS=MR","FA_ADJUSTED=Adjusted","Sort=A","Dates=H","DateFormat=P","Fill=—","Direction=H","UseDPDF=Y")</f>
        <v>-205.6557</v>
      </c>
      <c r="J62" s="14">
        <f>_xll.BDH("ALNY US Equity","EBITDA_MARGIN","FQ4 2020","FQ4 2020","Currency=USD","Period=FQ","BEST_FPERIOD_OVERRIDE=FQ","FILING_STATUS=MR","FA_ADJUSTED=Adjusted","Sort=A","Dates=H","DateFormat=P","Fill=—","Direction=H","UseDPDF=Y")</f>
        <v>-145.11160000000001</v>
      </c>
      <c r="K62" s="14">
        <f>_xll.BDH("ALNY US Equity","EBITDA_MARGIN","FQ1 2021","FQ1 2021","Currency=USD","Period=FQ","BEST_FPERIOD_OVERRIDE=FQ","FILING_STATUS=MR","FA_ADJUSTED=Adjusted","Sort=A","Dates=H","DateFormat=P","Fill=—","Direction=H","UseDPDF=Y")</f>
        <v>-120.0517</v>
      </c>
      <c r="L62" s="14">
        <f>_xll.BDH("ALNY US Equity","EBITDA_MARGIN","FQ2 2021","FQ2 2021","Currency=USD","Period=FQ","BEST_FPERIOD_OVERRIDE=FQ","FILING_STATUS=MR","FA_ADJUSTED=Adjusted","Sort=A","Dates=H","DateFormat=P","Fill=—","Direction=H","UseDPDF=Y")</f>
        <v>-91.272900000000007</v>
      </c>
      <c r="M62" s="14">
        <f>_xll.BDH("ALNY US Equity","EBITDA_MARGIN","FQ3 2021","FQ3 2021","Currency=USD","Period=FQ","BEST_FPERIOD_OVERRIDE=FQ","FILING_STATUS=MR","FA_ADJUSTED=Adjusted","Sort=A","Dates=H","DateFormat=P","Fill=—","Direction=H","UseDPDF=Y")</f>
        <v>-79.936300000000003</v>
      </c>
      <c r="N62" s="14">
        <f>_xll.BDH("ALNY US Equity","EBITDA_MARGIN","FQ4 2021","FQ4 2021","Currency=USD","Period=FQ","BEST_FPERIOD_OVERRIDE=FQ","FILING_STATUS=MR","FA_ADJUSTED=Adjusted","Sort=A","Dates=H","DateFormat=P","Fill=—","Direction=H","UseDPDF=Y")</f>
        <v>-72.126900000000006</v>
      </c>
      <c r="O62" s="14">
        <f>_xll.BDH("ALNY US Equity","EBITDA_MARGIN","FQ1 2022","FQ1 2022","Currency=USD","Period=FQ","BEST_FPERIOD_OVERRIDE=FQ","FILING_STATUS=MR","FA_ADJUSTED=Adjusted","Sort=A","Dates=H","DateFormat=P","Fill=—","Direction=H","UseDPDF=Y")</f>
        <v>-65.060599999999994</v>
      </c>
      <c r="P62" s="14">
        <f>_xll.BDH("ALNY US Equity","EBITDA_MARGIN","FQ2 2022","FQ2 2022","Currency=USD","Period=FQ","BEST_FPERIOD_OVERRIDE=FQ","FILING_STATUS=MR","FA_ADJUSTED=Adjusted","Sort=A","Dates=H","DateFormat=P","Fill=—","Direction=H","UseDPDF=Y")</f>
        <v>-70.112899999999996</v>
      </c>
      <c r="Q62" s="14">
        <f>_xll.BDH("ALNY US Equity","EBITDA_MARGIN","FQ3 2022","FQ3 2022","Currency=USD","Period=FQ","BEST_FPERIOD_OVERRIDE=FQ","FILING_STATUS=MR","FA_ADJUSTED=Adjusted","Sort=A","Dates=H","DateFormat=P","Fill=—","Direction=H","UseDPDF=Y")</f>
        <v>-73.773499999999999</v>
      </c>
      <c r="R62" s="14">
        <f>_xll.BDH("ALNY US Equity","EBITDA_MARGIN","FQ4 2022","FQ4 2022","Currency=USD","Period=FQ","BEST_FPERIOD_OVERRIDE=FQ","FILING_STATUS=MR","FA_ADJUSTED=Adjusted","Sort=A","Dates=H","DateFormat=P","Fill=—","Direction=H","UseDPDF=Y")</f>
        <v>-67.429100000000005</v>
      </c>
      <c r="S62" s="14">
        <f>_xll.BDH("ALNY US Equity","EBITDA_MARGIN","FQ1 2023","FQ1 2023","Currency=USD","Period=FQ","BEST_FPERIOD_OVERRIDE=FQ","FILING_STATUS=MR","FA_ADJUSTED=Adjusted","Sort=A","Dates=H","DateFormat=P","Fill=—","Direction=H","UseDPDF=Y")</f>
        <v>-60.894399999999997</v>
      </c>
      <c r="T62" s="14">
        <f>_xll.BDH("ALNY US Equity","EBITDA_MARGIN","FQ2 2023","FQ2 2023","Currency=USD","Period=FQ","BEST_FPERIOD_OVERRIDE=FQ","FILING_STATUS=MR","FA_ADJUSTED=Adjusted","Sort=A","Dates=H","DateFormat=P","Fill=—","Direction=H","UseDPDF=Y")</f>
        <v>-59.094900000000003</v>
      </c>
      <c r="U62" s="14">
        <f>_xll.BDH("ALNY US Equity","EBITDA_MARGIN","FQ3 2023","FQ3 2023","Currency=USD","Period=FQ","BEST_FPERIOD_OVERRIDE=FQ","FILING_STATUS=MR","FA_ADJUSTED=Adjusted","Sort=A","Dates=H","DateFormat=P","Fill=—","Direction=H","UseDPDF=Y")</f>
        <v>-14.8782</v>
      </c>
      <c r="V62" s="14">
        <f>_xll.BDH("ALNY US Equity","EBITDA_MARGIN","FQ4 2023","FQ4 2023","Currency=USD","Period=FQ","BEST_FPERIOD_OVERRIDE=FQ","FILING_STATUS=MR","FA_ADJUSTED=Adjusted","Sort=A","Dates=H","DateFormat=P","Fill=—","Direction=H","UseDPDF=Y")</f>
        <v>-10.1266</v>
      </c>
      <c r="W62" s="14">
        <f>_xll.BDH("ALNY US Equity","EBITDA_MARGIN","FQ1 2024","FQ1 2024","Currency=USD","Period=FQ","BEST_FPERIOD_OVERRIDE=FQ","FILING_STATUS=MR","FA_ADJUSTED=Adjusted","Sort=A","Dates=H","DateFormat=P","Fill=—","Direction=H","UseDPDF=Y")</f>
        <v>-3.9615999999999998</v>
      </c>
      <c r="X62" s="14">
        <f>_xll.BDH("ALNY US Equity","EBITDA_MARGIN","FQ2 2024","FQ2 2024","Currency=USD","Period=FQ","BEST_FPERIOD_OVERRIDE=FQ","FILING_STATUS=MR","FA_ADJUSTED=Adjusted","Sort=A","Dates=H","DateFormat=P","Fill=—","Direction=H","UseDPDF=Y")</f>
        <v>8.5448000000000004</v>
      </c>
      <c r="Y62" s="14">
        <f>_xll.BDH("ALNY US Equity","EBITDA_MARGIN","FQ3 2024","FQ3 2024","Currency=USD","Period=FQ","BEST_FPERIOD_OVERRIDE=FQ","FILING_STATUS=MR","FA_ADJUSTED=Adjusted","Sort=A","Dates=H","DateFormat=P","Fill=—","Direction=H","UseDPDF=Y")</f>
        <v>-4.1502999999999997</v>
      </c>
      <c r="Z62" s="14">
        <f>_xll.BDH("ALNY US Equity","EBITDA_MARGIN","FQ4 2024","FQ4 2024","Currency=USD","Period=FQ","BEST_FPERIOD_OVERRIDE=FQ","FILING_STATUS=MR","FA_ADJUSTED=Adjusted","Sort=A","Dates=H","DateFormat=P","Fill=—","Direction=H","UseDPDF=Y")</f>
        <v>-3.8029999999999999</v>
      </c>
    </row>
    <row r="63" spans="1:26" x14ac:dyDescent="0.25">
      <c r="A63" s="10" t="s">
        <v>154</v>
      </c>
      <c r="B63" s="10" t="s">
        <v>154</v>
      </c>
      <c r="C63" s="13" t="str">
        <f>_xll.BDH("ALNY US Equity","EBITA","FQ1 2019","FQ1 2019","Currency=USD","Period=FQ","BEST_FPERIOD_OVERRIDE=FQ","FILING_STATUS=MR","SCALING_FORMAT=MLN","FA_ADJUSTED=Adjusted","Sort=A","Dates=H","DateFormat=P","Fill=—","Direction=H","UseDPDF=Y")</f>
        <v>—</v>
      </c>
      <c r="D63" s="13" t="str">
        <f>_xll.BDH("ALNY US Equity","EBITA","FQ2 2019","FQ2 2019","Currency=USD","Period=FQ","BEST_FPERIOD_OVERRIDE=FQ","FILING_STATUS=MR","SCALING_FORMAT=MLN","FA_ADJUSTED=Adjusted","Sort=A","Dates=H","DateFormat=P","Fill=—","Direction=H","UseDPDF=Y")</f>
        <v>—</v>
      </c>
      <c r="E63" s="13" t="str">
        <f>_xll.BDH("ALNY US Equity","EBITA","FQ3 2019","FQ3 2019","Currency=USD","Period=FQ","BEST_FPERIOD_OVERRIDE=FQ","FILING_STATUS=MR","SCALING_FORMAT=MLN","FA_ADJUSTED=Adjusted","Sort=A","Dates=H","DateFormat=P","Fill=—","Direction=H","UseDPDF=Y")</f>
        <v>—</v>
      </c>
      <c r="F63" s="13" t="str">
        <f>_xll.BDH("ALNY US Equity","EBITA","FQ4 2019","FQ4 2019","Currency=USD","Period=FQ","BEST_FPERIOD_OVERRIDE=FQ","FILING_STATUS=MR","SCALING_FORMAT=MLN","FA_ADJUSTED=Adjusted","Sort=A","Dates=H","DateFormat=P","Fill=—","Direction=H","UseDPDF=Y")</f>
        <v>—</v>
      </c>
      <c r="G63" s="13" t="str">
        <f>_xll.BDH("ALNY US Equity","EBITA","FQ1 2020","FQ1 2020","Currency=USD","Period=FQ","BEST_FPERIOD_OVERRIDE=FQ","FILING_STATUS=MR","SCALING_FORMAT=MLN","FA_ADJUSTED=Adjusted","Sort=A","Dates=H","DateFormat=P","Fill=—","Direction=H","UseDPDF=Y")</f>
        <v>—</v>
      </c>
      <c r="H63" s="13" t="str">
        <f>_xll.BDH("ALNY US Equity","EBITA","FQ2 2020","FQ2 2020","Currency=USD","Period=FQ","BEST_FPERIOD_OVERRIDE=FQ","FILING_STATUS=MR","SCALING_FORMAT=MLN","FA_ADJUSTED=Adjusted","Sort=A","Dates=H","DateFormat=P","Fill=—","Direction=H","UseDPDF=Y")</f>
        <v>—</v>
      </c>
      <c r="I63" s="13" t="str">
        <f>_xll.BDH("ALNY US Equity","EBITA","FQ3 2020","FQ3 2020","Currency=USD","Period=FQ","BEST_FPERIOD_OVERRIDE=FQ","FILING_STATUS=MR","SCALING_FORMAT=MLN","FA_ADJUSTED=Adjusted","Sort=A","Dates=H","DateFormat=P","Fill=—","Direction=H","UseDPDF=Y")</f>
        <v>—</v>
      </c>
      <c r="J63" s="13" t="str">
        <f>_xll.BDH("ALNY US Equity","EBITA","FQ4 2020","FQ4 2020","Currency=USD","Period=FQ","BEST_FPERIOD_OVERRIDE=FQ","FILING_STATUS=MR","SCALING_FORMAT=MLN","FA_ADJUSTED=Adjusted","Sort=A","Dates=H","DateFormat=P","Fill=—","Direction=H","UseDPDF=Y")</f>
        <v>—</v>
      </c>
      <c r="K63" s="13" t="str">
        <f>_xll.BDH("ALNY US Equity","EBITA","FQ1 2021","FQ1 2021","Currency=USD","Period=FQ","BEST_FPERIOD_OVERRIDE=FQ","FILING_STATUS=MR","SCALING_FORMAT=MLN","FA_ADJUSTED=Adjusted","Sort=A","Dates=H","DateFormat=P","Fill=—","Direction=H","UseDPDF=Y")</f>
        <v>—</v>
      </c>
      <c r="L63" s="13" t="str">
        <f>_xll.BDH("ALNY US Equity","EBITA","FQ2 2021","FQ2 2021","Currency=USD","Period=FQ","BEST_FPERIOD_OVERRIDE=FQ","FILING_STATUS=MR","SCALING_FORMAT=MLN","FA_ADJUSTED=Adjusted","Sort=A","Dates=H","DateFormat=P","Fill=—","Direction=H","UseDPDF=Y")</f>
        <v>—</v>
      </c>
      <c r="M63" s="13" t="str">
        <f>_xll.BDH("ALNY US Equity","EBITA","FQ3 2021","FQ3 2021","Currency=USD","Period=FQ","BEST_FPERIOD_OVERRIDE=FQ","FILING_STATUS=MR","SCALING_FORMAT=MLN","FA_ADJUSTED=Adjusted","Sort=A","Dates=H","DateFormat=P","Fill=—","Direction=H","UseDPDF=Y")</f>
        <v>—</v>
      </c>
      <c r="N63" s="13" t="str">
        <f>_xll.BDH("ALNY US Equity","EBITA","FQ4 2021","FQ4 2021","Currency=USD","Period=FQ","BEST_FPERIOD_OVERRIDE=FQ","FILING_STATUS=MR","SCALING_FORMAT=MLN","FA_ADJUSTED=Adjusted","Sort=A","Dates=H","DateFormat=P","Fill=—","Direction=H","UseDPDF=Y")</f>
        <v>—</v>
      </c>
      <c r="O63" s="13" t="str">
        <f>_xll.BDH("ALNY US Equity","EBITA","FQ1 2022","FQ1 2022","Currency=USD","Period=FQ","BEST_FPERIOD_OVERRIDE=FQ","FILING_STATUS=MR","SCALING_FORMAT=MLN","FA_ADJUSTED=Adjusted","Sort=A","Dates=H","DateFormat=P","Fill=—","Direction=H","UseDPDF=Y")</f>
        <v>—</v>
      </c>
      <c r="P63" s="13" t="str">
        <f>_xll.BDH("ALNY US Equity","EBITA","FQ2 2022","FQ2 2022","Currency=USD","Period=FQ","BEST_FPERIOD_OVERRIDE=FQ","FILING_STATUS=MR","SCALING_FORMAT=MLN","FA_ADJUSTED=Adjusted","Sort=A","Dates=H","DateFormat=P","Fill=—","Direction=H","UseDPDF=Y")</f>
        <v>—</v>
      </c>
      <c r="Q63" s="13" t="str">
        <f>_xll.BDH("ALNY US Equity","EBITA","FQ3 2022","FQ3 2022","Currency=USD","Period=FQ","BEST_FPERIOD_OVERRIDE=FQ","FILING_STATUS=MR","SCALING_FORMAT=MLN","FA_ADJUSTED=Adjusted","Sort=A","Dates=H","DateFormat=P","Fill=—","Direction=H","UseDPDF=Y")</f>
        <v>—</v>
      </c>
      <c r="R63" s="13" t="str">
        <f>_xll.BDH("ALNY US Equity","EBITA","FQ4 2022","FQ4 2022","Currency=USD","Period=FQ","BEST_FPERIOD_OVERRIDE=FQ","FILING_STATUS=MR","SCALING_FORMAT=MLN","FA_ADJUSTED=Adjusted","Sort=A","Dates=H","DateFormat=P","Fill=—","Direction=H","UseDPDF=Y")</f>
        <v>—</v>
      </c>
      <c r="S63" s="13" t="str">
        <f>_xll.BDH("ALNY US Equity","EBITA","FQ1 2023","FQ1 2023","Currency=USD","Period=FQ","BEST_FPERIOD_OVERRIDE=FQ","FILING_STATUS=MR","SCALING_FORMAT=MLN","FA_ADJUSTED=Adjusted","Sort=A","Dates=H","DateFormat=P","Fill=—","Direction=H","UseDPDF=Y")</f>
        <v>—</v>
      </c>
      <c r="T63" s="13">
        <f>_xll.BDH("ALNY US Equity","EBITA","FQ2 2023","FQ2 2023","Currency=USD","Period=FQ","BEST_FPERIOD_OVERRIDE=FQ","FILING_STATUS=MR","SCALING_FORMAT=MLN","FA_ADJUSTED=Adjusted","Sort=A","Dates=H","DateFormat=P","Fill=—","Direction=H","UseDPDF=Y")</f>
        <v>-219.56299999999999</v>
      </c>
      <c r="U63" s="13">
        <f>_xll.BDH("ALNY US Equity","EBITA","FQ3 2023","FQ3 2023","Currency=USD","Period=FQ","BEST_FPERIOD_OVERRIDE=FQ","FILING_STATUS=MR","SCALING_FORMAT=MLN","FA_ADJUSTED=Adjusted","Sort=A","Dates=H","DateFormat=P","Fill=—","Direction=H","UseDPDF=Y")</f>
        <v>224.071</v>
      </c>
      <c r="V63" s="13" t="str">
        <f>_xll.BDH("ALNY US Equity","EBITA","FQ4 2023","FQ4 2023","Currency=USD","Period=FQ","BEST_FPERIOD_OVERRIDE=FQ","FILING_STATUS=MR","SCALING_FORMAT=MLN","FA_ADJUSTED=Adjusted","Sort=A","Dates=H","DateFormat=P","Fill=—","Direction=H","UseDPDF=Y")</f>
        <v>—</v>
      </c>
      <c r="W63" s="13" t="str">
        <f>_xll.BDH("ALNY US Equity","EBITA","FQ1 2024","FQ1 2024","Currency=USD","Period=FQ","BEST_FPERIOD_OVERRIDE=FQ","FILING_STATUS=MR","SCALING_FORMAT=MLN","FA_ADJUSTED=Adjusted","Sort=A","Dates=H","DateFormat=P","Fill=—","Direction=H","UseDPDF=Y")</f>
        <v>—</v>
      </c>
      <c r="X63" s="13">
        <f>_xll.BDH("ALNY US Equity","EBITA","FQ2 2024","FQ2 2024","Currency=USD","Period=FQ","BEST_FPERIOD_OVERRIDE=FQ","FILING_STATUS=MR","SCALING_FORMAT=MLN","FA_ADJUSTED=Adjusted","Sort=A","Dates=H","DateFormat=P","Fill=—","Direction=H","UseDPDF=Y")</f>
        <v>58.302999999999997</v>
      </c>
      <c r="Y63" s="13">
        <f>_xll.BDH("ALNY US Equity","EBITA","FQ3 2024","FQ3 2024","Currency=USD","Period=FQ","BEST_FPERIOD_OVERRIDE=FQ","FILING_STATUS=MR","SCALING_FORMAT=MLN","FA_ADJUSTED=Adjusted","Sort=A","Dates=H","DateFormat=P","Fill=—","Direction=H","UseDPDF=Y")</f>
        <v>-63.848999999999997</v>
      </c>
      <c r="Z63" s="13">
        <f>_xll.BDH("ALNY US Equity","EBITA","FQ4 2024","FQ4 2024","Currency=USD","Period=FQ","BEST_FPERIOD_OVERRIDE=FQ","FILING_STATUS=MR","SCALING_FORMAT=MLN","FA_ADJUSTED=Adjusted","Sort=A","Dates=H","DateFormat=P","Fill=—","Direction=H","UseDPDF=Y")</f>
        <v>-105.15900000000001</v>
      </c>
    </row>
    <row r="64" spans="1:26" x14ac:dyDescent="0.25">
      <c r="A64" s="10" t="s">
        <v>155</v>
      </c>
      <c r="B64" s="10" t="s">
        <v>155</v>
      </c>
      <c r="C64" s="13">
        <f>_xll.BDH("ALNY US Equity","EBIT","FQ1 2019","FQ1 2019","Currency=USD","Period=FQ","BEST_FPERIOD_OVERRIDE=FQ","FILING_STATUS=MR","SCALING_FORMAT=MLN","FA_ADJUSTED=Adjusted","Sort=A","Dates=H","DateFormat=P","Fill=—","Direction=H","UseDPDF=Y")</f>
        <v>-188.78800000000001</v>
      </c>
      <c r="D64" s="13">
        <f>_xll.BDH("ALNY US Equity","EBIT","FQ2 2019","FQ2 2019","Currency=USD","Period=FQ","BEST_FPERIOD_OVERRIDE=FQ","FILING_STATUS=MR","SCALING_FORMAT=MLN","FA_ADJUSTED=Adjusted","Sort=A","Dates=H","DateFormat=P","Fill=—","Direction=H","UseDPDF=Y")</f>
        <v>-236.27099999999999</v>
      </c>
      <c r="E64" s="13">
        <f>_xll.BDH("ALNY US Equity","EBIT","FQ3 2019","FQ3 2019","Currency=USD","Period=FQ","BEST_FPERIOD_OVERRIDE=FQ","FILING_STATUS=MR","SCALING_FORMAT=MLN","FA_ADJUSTED=Adjusted","Sort=A","Dates=H","DateFormat=P","Fill=—","Direction=H","UseDPDF=Y")</f>
        <v>-216.29900000000001</v>
      </c>
      <c r="F64" s="13">
        <f>_xll.BDH("ALNY US Equity","EBIT","FQ4 2019","FQ4 2019","Currency=USD","Period=FQ","BEST_FPERIOD_OVERRIDE=FQ","FILING_STATUS=MR","SCALING_FORMAT=MLN","FA_ADJUSTED=Adjusted","Sort=A","Dates=H","DateFormat=P","Fill=—","Direction=H","UseDPDF=Y")</f>
        <v>-298.07299999999998</v>
      </c>
      <c r="G64" s="13">
        <f>_xll.BDH("ALNY US Equity","EBIT","FQ1 2020","FQ1 2020","Currency=USD","Period=FQ","BEST_FPERIOD_OVERRIDE=FQ","FILING_STATUS=MR","SCALING_FORMAT=MLN","FA_ADJUSTED=Adjusted","Sort=A","Dates=H","DateFormat=P","Fill=—","Direction=H","UseDPDF=Y")</f>
        <v>-210.15799999999999</v>
      </c>
      <c r="H64" s="13">
        <f>_xll.BDH("ALNY US Equity","EBIT","FQ2 2020","FQ2 2020","Currency=USD","Period=FQ","BEST_FPERIOD_OVERRIDE=FQ","FILING_STATUS=MR","SCALING_FORMAT=MLN","FA_ADJUSTED=Adjusted","Sort=A","Dates=H","DateFormat=P","Fill=—","Direction=H","UseDPDF=Y")</f>
        <v>-199.67169999999999</v>
      </c>
      <c r="I64" s="13">
        <f>_xll.BDH("ALNY US Equity","EBIT","FQ3 2020","FQ3 2020","Currency=USD","Period=FQ","BEST_FPERIOD_OVERRIDE=FQ","FILING_STATUS=MR","SCALING_FORMAT=MLN","FA_ADJUSTED=Adjusted","Sort=A","Dates=H","DateFormat=P","Fill=—","Direction=H","UseDPDF=Y")</f>
        <v>-195.786</v>
      </c>
      <c r="J64" s="13">
        <f>_xll.BDH("ALNY US Equity","EBIT","FQ4 2020","FQ4 2020","Currency=USD","Period=FQ","BEST_FPERIOD_OVERRIDE=FQ","FILING_STATUS=MR","SCALING_FORMAT=MLN","FA_ADJUSTED=Adjusted","Sort=A","Dates=H","DateFormat=P","Fill=—","Direction=H","UseDPDF=Y")</f>
        <v>-184.006</v>
      </c>
      <c r="K64" s="13">
        <f>_xll.BDH("ALNY US Equity","EBIT","FQ1 2021","FQ1 2021","Currency=USD","Period=FQ","BEST_FPERIOD_OVERRIDE=FQ","FILING_STATUS=MR","SCALING_FORMAT=MLN","FA_ADJUSTED=Adjusted","Sort=A","Dates=H","DateFormat=P","Fill=—","Direction=H","UseDPDF=Y")</f>
        <v>-186.25399999999999</v>
      </c>
      <c r="L64" s="13">
        <f>_xll.BDH("ALNY US Equity","EBIT","FQ2 2021","FQ2 2021","Currency=USD","Period=FQ","BEST_FPERIOD_OVERRIDE=FQ","FILING_STATUS=MR","SCALING_FORMAT=MLN","FA_ADJUSTED=Adjusted","Sort=A","Dates=H","DateFormat=P","Fill=—","Direction=H","UseDPDF=Y")</f>
        <v>-146.16</v>
      </c>
      <c r="M64" s="13">
        <f>_xll.BDH("ALNY US Equity","EBIT","FQ3 2021","FQ3 2021","Currency=USD","Period=FQ","BEST_FPERIOD_OVERRIDE=FQ","FILING_STATUS=MR","SCALING_FORMAT=MLN","FA_ADJUSTED=Adjusted","Sort=A","Dates=H","DateFormat=P","Fill=—","Direction=H","UseDPDF=Y")</f>
        <v>-171.67699999999999</v>
      </c>
      <c r="N64" s="13">
        <f>_xll.BDH("ALNY US Equity","EBIT","FQ4 2021","FQ4 2021","Currency=USD","Period=FQ","BEST_FPERIOD_OVERRIDE=FQ","FILING_STATUS=MR","SCALING_FORMAT=MLN","FA_ADJUSTED=Adjusted","Sort=A","Dates=H","DateFormat=P","Fill=—","Direction=H","UseDPDF=Y")</f>
        <v>-194.56100000000001</v>
      </c>
      <c r="O64" s="13">
        <f>_xll.BDH("ALNY US Equity","EBIT","FQ1 2022","FQ1 2022","Currency=USD","Period=FQ","BEST_FPERIOD_OVERRIDE=FQ","FILING_STATUS=MR","SCALING_FORMAT=MLN","FA_ADJUSTED=Adjusted","Sort=A","Dates=H","DateFormat=P","Fill=—","Direction=H","UseDPDF=Y")</f>
        <v>-146.732</v>
      </c>
      <c r="P64" s="13">
        <f>_xll.BDH("ALNY US Equity","EBIT","FQ2 2022","FQ2 2022","Currency=USD","Period=FQ","BEST_FPERIOD_OVERRIDE=FQ","FILING_STATUS=MR","SCALING_FORMAT=MLN","FA_ADJUSTED=Adjusted","Sort=A","Dates=H","DateFormat=P","Fill=—","Direction=H","UseDPDF=Y")</f>
        <v>-191.68600000000001</v>
      </c>
      <c r="Q64" s="13">
        <f>_xll.BDH("ALNY US Equity","EBIT","FQ3 2022","FQ3 2022","Currency=USD","Period=FQ","BEST_FPERIOD_OVERRIDE=FQ","FILING_STATUS=MR","SCALING_FORMAT=MLN","FA_ADJUSTED=Adjusted","Sort=A","Dates=H","DateFormat=P","Fill=—","Direction=H","UseDPDF=Y")</f>
        <v>-258.04000000000002</v>
      </c>
      <c r="R64" s="13">
        <f>_xll.BDH("ALNY US Equity","EBIT","FQ4 2022","FQ4 2022","Currency=USD","Period=FQ","BEST_FPERIOD_OVERRIDE=FQ","FILING_STATUS=MR","SCALING_FORMAT=MLN","FA_ADJUSTED=Adjusted","Sort=A","Dates=H","DateFormat=P","Fill=—","Direction=H","UseDPDF=Y")</f>
        <v>-188.614</v>
      </c>
      <c r="S64" s="13">
        <f>_xll.BDH("ALNY US Equity","EBIT","FQ1 2023","FQ1 2023","Currency=USD","Period=FQ","BEST_FPERIOD_OVERRIDE=FQ","FILING_STATUS=MR","SCALING_FORMAT=MLN","FA_ADJUSTED=Adjusted","Sort=A","Dates=H","DateFormat=P","Fill=—","Direction=H","UseDPDF=Y")</f>
        <v>-149.80699999999999</v>
      </c>
      <c r="T64" s="13">
        <f>_xll.BDH("ALNY US Equity","EBIT","FQ2 2023","FQ2 2023","Currency=USD","Period=FQ","BEST_FPERIOD_OVERRIDE=FQ","FILING_STATUS=MR","SCALING_FORMAT=MLN","FA_ADJUSTED=Adjusted","Sort=A","Dates=H","DateFormat=P","Fill=—","Direction=H","UseDPDF=Y")</f>
        <v>-229.83099999999999</v>
      </c>
      <c r="U64" s="13">
        <f>_xll.BDH("ALNY US Equity","EBIT","FQ3 2023","FQ3 2023","Currency=USD","Period=FQ","BEST_FPERIOD_OVERRIDE=FQ","FILING_STATUS=MR","SCALING_FORMAT=MLN","FA_ADJUSTED=Adjusted","Sort=A","Dates=H","DateFormat=P","Fill=—","Direction=H","UseDPDF=Y")</f>
        <v>213.86699999999999</v>
      </c>
      <c r="V64" s="13">
        <f>_xll.BDH("ALNY US Equity","EBIT","FQ4 2023","FQ4 2023","Currency=USD","Period=FQ","BEST_FPERIOD_OVERRIDE=FQ","FILING_STATUS=MR","SCALING_FORMAT=MLN","FA_ADJUSTED=Adjusted","Sort=A","Dates=H","DateFormat=P","Fill=—","Direction=H","UseDPDF=Y")</f>
        <v>-116.404</v>
      </c>
      <c r="W64" s="13">
        <f>_xll.BDH("ALNY US Equity","EBIT","FQ1 2024","FQ1 2024","Currency=USD","Period=FQ","BEST_FPERIOD_OVERRIDE=FQ","FILING_STATUS=MR","SCALING_FORMAT=MLN","FA_ADJUSTED=Adjusted","Sort=A","Dates=H","DateFormat=P","Fill=—","Direction=H","UseDPDF=Y")</f>
        <v>-43.435000000000002</v>
      </c>
      <c r="X64" s="13">
        <f>_xll.BDH("ALNY US Equity","EBIT","FQ2 2024","FQ2 2024","Currency=USD","Period=FQ","BEST_FPERIOD_OVERRIDE=FQ","FILING_STATUS=MR","SCALING_FORMAT=MLN","FA_ADJUSTED=Adjusted","Sort=A","Dates=H","DateFormat=P","Fill=—","Direction=H","UseDPDF=Y")</f>
        <v>48.613999999999997</v>
      </c>
      <c r="Y64" s="13">
        <f>_xll.BDH("ALNY US Equity","EBIT","FQ3 2024","FQ3 2024","Currency=USD","Period=FQ","BEST_FPERIOD_OVERRIDE=FQ","FILING_STATUS=MR","SCALING_FORMAT=MLN","FA_ADJUSTED=Adjusted","Sort=A","Dates=H","DateFormat=P","Fill=—","Direction=H","UseDPDF=Y")</f>
        <v>-76.905000000000001</v>
      </c>
      <c r="Z64" s="13">
        <f>_xll.BDH("ALNY US Equity","EBIT","FQ4 2024","FQ4 2024","Currency=USD","Period=FQ","BEST_FPERIOD_OVERRIDE=FQ","FILING_STATUS=MR","SCALING_FORMAT=MLN","FA_ADJUSTED=Adjusted","Sort=A","Dates=H","DateFormat=P","Fill=—","Direction=H","UseDPDF=Y")</f>
        <v>-105.15900000000001</v>
      </c>
    </row>
    <row r="65" spans="1:26" x14ac:dyDescent="0.25">
      <c r="A65" s="10" t="s">
        <v>156</v>
      </c>
      <c r="B65" s="10" t="s">
        <v>157</v>
      </c>
      <c r="C65" s="14">
        <f>_xll.BDH("ALNY US Equity","GROSS_MARGIN","FQ1 2019","FQ1 2019","Currency=USD","Period=FQ","BEST_FPERIOD_OVERRIDE=FQ","FILING_STATUS=MR","FA_ADJUSTED=Adjusted","Sort=A","Dates=H","DateFormat=P","Fill=—","Direction=H","UseDPDF=Y")</f>
        <v>89.947100000000006</v>
      </c>
      <c r="D65" s="14">
        <f>_xll.BDH("ALNY US Equity","GROSS_MARGIN","FQ2 2019","FQ2 2019","Currency=USD","Period=FQ","BEST_FPERIOD_OVERRIDE=FQ","FILING_STATUS=MR","FA_ADJUSTED=Adjusted","Sort=A","Dates=H","DateFormat=P","Fill=—","Direction=H","UseDPDF=Y")</f>
        <v>90.325199999999995</v>
      </c>
      <c r="E65" s="14">
        <f>_xll.BDH("ALNY US Equity","GROSS_MARGIN","FQ3 2019","FQ3 2019","Currency=USD","Period=FQ","BEST_FPERIOD_OVERRIDE=FQ","FILING_STATUS=MR","FA_ADJUSTED=Adjusted","Sort=A","Dates=H","DateFormat=P","Fill=—","Direction=H","UseDPDF=Y")</f>
        <v>92.559299999999993</v>
      </c>
      <c r="F65" s="14">
        <f>_xll.BDH("ALNY US Equity","GROSS_MARGIN","FQ4 2019","FQ4 2019","Currency=USD","Period=FQ","BEST_FPERIOD_OVERRIDE=FQ","FILING_STATUS=MR","FA_ADJUSTED=Adjusted","Sort=A","Dates=H","DateFormat=P","Fill=—","Direction=H","UseDPDF=Y")</f>
        <v>83.013599999999997</v>
      </c>
      <c r="G65" s="14">
        <f>_xll.BDH("ALNY US Equity","GROSS_MARGIN","FQ1 2020","FQ1 2020","Currency=USD","Period=FQ","BEST_FPERIOD_OVERRIDE=FQ","FILING_STATUS=MR","FA_ADJUSTED=Adjusted","Sort=A","Dates=H","DateFormat=P","Fill=—","Direction=H","UseDPDF=Y")</f>
        <v>86.627899999999997</v>
      </c>
      <c r="H65" s="14">
        <f>_xll.BDH("ALNY US Equity","GROSS_MARGIN","FQ2 2020","FQ2 2020","Currency=USD","Period=FQ","BEST_FPERIOD_OVERRIDE=FQ","FILING_STATUS=MR","FA_ADJUSTED=Adjusted","Sort=A","Dates=H","DateFormat=P","Fill=—","Direction=H","UseDPDF=Y")</f>
        <v>80.830500000000001</v>
      </c>
      <c r="I65" s="14">
        <f>_xll.BDH("ALNY US Equity","GROSS_MARGIN","FQ3 2020","FQ3 2020","Currency=USD","Period=FQ","BEST_FPERIOD_OVERRIDE=FQ","FILING_STATUS=MR","FA_ADJUSTED=Adjusted","Sort=A","Dates=H","DateFormat=P","Fill=—","Direction=H","UseDPDF=Y")</f>
        <v>82.680599999999998</v>
      </c>
      <c r="J65" s="14">
        <f>_xll.BDH("ALNY US Equity","GROSS_MARGIN","FQ4 2020","FQ4 2020","Currency=USD","Period=FQ","BEST_FPERIOD_OVERRIDE=FQ","FILING_STATUS=MR","FA_ADJUSTED=Adjusted","Sort=A","Dates=H","DateFormat=P","Fill=—","Direction=H","UseDPDF=Y")</f>
        <v>85.923400000000001</v>
      </c>
      <c r="K65" s="14">
        <f>_xll.BDH("ALNY US Equity","GROSS_MARGIN","FQ1 2021","FQ1 2021","Currency=USD","Period=FQ","BEST_FPERIOD_OVERRIDE=FQ","FILING_STATUS=MR","FA_ADJUSTED=Adjusted","Sort=A","Dates=H","DateFormat=P","Fill=—","Direction=H","UseDPDF=Y")</f>
        <v>82.506799999999998</v>
      </c>
      <c r="L65" s="14">
        <f>_xll.BDH("ALNY US Equity","GROSS_MARGIN","FQ2 2021","FQ2 2021","Currency=USD","Period=FQ","BEST_FPERIOD_OVERRIDE=FQ","FILING_STATUS=MR","FA_ADJUSTED=Adjusted","Sort=A","Dates=H","DateFormat=P","Fill=—","Direction=H","UseDPDF=Y")</f>
        <v>82.428299999999993</v>
      </c>
      <c r="M65" s="14">
        <f>_xll.BDH("ALNY US Equity","GROSS_MARGIN","FQ3 2021","FQ3 2021","Currency=USD","Period=FQ","BEST_FPERIOD_OVERRIDE=FQ","FILING_STATUS=MR","FA_ADJUSTED=Adjusted","Sort=A","Dates=H","DateFormat=P","Fill=—","Direction=H","UseDPDF=Y")</f>
        <v>82.592100000000002</v>
      </c>
      <c r="N65" s="14">
        <f>_xll.BDH("ALNY US Equity","GROSS_MARGIN","FQ4 2021","FQ4 2021","Currency=USD","Period=FQ","BEST_FPERIOD_OVERRIDE=FQ","FILING_STATUS=MR","FA_ADJUSTED=Adjusted","Sort=A","Dates=H","DateFormat=P","Fill=—","Direction=H","UseDPDF=Y")</f>
        <v>85.431799999999996</v>
      </c>
      <c r="O65" s="14">
        <f>_xll.BDH("ALNY US Equity","GROSS_MARGIN","FQ1 2022","FQ1 2022","Currency=USD","Period=FQ","BEST_FPERIOD_OVERRIDE=FQ","FILING_STATUS=MR","FA_ADJUSTED=Adjusted","Sort=A","Dates=H","DateFormat=P","Fill=—","Direction=H","UseDPDF=Y")</f>
        <v>83.293999999999997</v>
      </c>
      <c r="P65" s="14">
        <f>_xll.BDH("ALNY US Equity","GROSS_MARGIN","FQ2 2022","FQ2 2022","Currency=USD","Period=FQ","BEST_FPERIOD_OVERRIDE=FQ","FILING_STATUS=MR","FA_ADJUSTED=Adjusted","Sort=A","Dates=H","DateFormat=P","Fill=—","Direction=H","UseDPDF=Y")</f>
        <v>81.848399999999998</v>
      </c>
      <c r="Q65" s="14">
        <f>_xll.BDH("ALNY US Equity","GROSS_MARGIN","FQ3 2022","FQ3 2022","Currency=USD","Period=FQ","BEST_FPERIOD_OVERRIDE=FQ","FILING_STATUS=MR","FA_ADJUSTED=Adjusted","Sort=A","Dates=H","DateFormat=P","Fill=—","Direction=H","UseDPDF=Y")</f>
        <v>84.443799999999996</v>
      </c>
      <c r="R65" s="14">
        <f>_xll.BDH("ALNY US Equity","GROSS_MARGIN","FQ4 2022","FQ4 2022","Currency=USD","Period=FQ","BEST_FPERIOD_OVERRIDE=FQ","FILING_STATUS=MR","FA_ADJUSTED=Adjusted","Sort=A","Dates=H","DateFormat=P","Fill=—","Direction=H","UseDPDF=Y")</f>
        <v>84.698300000000003</v>
      </c>
      <c r="S65" s="14">
        <f>_xll.BDH("ALNY US Equity","GROSS_MARGIN","FQ1 2023","FQ1 2023","Currency=USD","Period=FQ","BEST_FPERIOD_OVERRIDE=FQ","FILING_STATUS=MR","FA_ADJUSTED=Adjusted","Sort=A","Dates=H","DateFormat=P","Fill=—","Direction=H","UseDPDF=Y")</f>
        <v>82.815299999999993</v>
      </c>
      <c r="T65" s="14">
        <f>_xll.BDH("ALNY US Equity","GROSS_MARGIN","FQ2 2023","FQ2 2023","Currency=USD","Period=FQ","BEST_FPERIOD_OVERRIDE=FQ","FILING_STATUS=MR","FA_ADJUSTED=Adjusted","Sort=A","Dates=H","DateFormat=P","Fill=—","Direction=H","UseDPDF=Y")</f>
        <v>73.217600000000004</v>
      </c>
      <c r="U65" s="14">
        <f>_xll.BDH("ALNY US Equity","GROSS_MARGIN","FQ3 2023","FQ3 2023","Currency=USD","Period=FQ","BEST_FPERIOD_OVERRIDE=FQ","FILING_STATUS=MR","FA_ADJUSTED=Adjusted","Sort=A","Dates=H","DateFormat=P","Fill=—","Direction=H","UseDPDF=Y")</f>
        <v>88.7667</v>
      </c>
      <c r="V65" s="14">
        <f>_xll.BDH("ALNY US Equity","GROSS_MARGIN","FQ4 2023","FQ4 2023","Currency=USD","Period=FQ","BEST_FPERIOD_OVERRIDE=FQ","FILING_STATUS=MR","FA_ADJUSTED=Adjusted","Sort=A","Dates=H","DateFormat=P","Fill=—","Direction=H","UseDPDF=Y")</f>
        <v>80.474299999999999</v>
      </c>
      <c r="W65" s="14">
        <f>_xll.BDH("ALNY US Equity","GROSS_MARGIN","FQ1 2024","FQ1 2024","Currency=USD","Period=FQ","BEST_FPERIOD_OVERRIDE=FQ","FILING_STATUS=MR","FA_ADJUSTED=Adjusted","Sort=A","Dates=H","DateFormat=P","Fill=—","Direction=H","UseDPDF=Y")</f>
        <v>86.653499999999994</v>
      </c>
      <c r="X65" s="14">
        <f>_xll.BDH("ALNY US Equity","GROSS_MARGIN","FQ2 2024","FQ2 2024","Currency=USD","Period=FQ","BEST_FPERIOD_OVERRIDE=FQ","FILING_STATUS=MR","FA_ADJUSTED=Adjusted","Sort=A","Dates=H","DateFormat=P","Fill=—","Direction=H","UseDPDF=Y")</f>
        <v>89.592399999999998</v>
      </c>
      <c r="Y65" s="14">
        <f>_xll.BDH("ALNY US Equity","GROSS_MARGIN","FQ3 2024","FQ3 2024","Currency=USD","Period=FQ","BEST_FPERIOD_OVERRIDE=FQ","FILING_STATUS=MR","FA_ADJUSTED=Adjusted","Sort=A","Dates=H","DateFormat=P","Fill=—","Direction=H","UseDPDF=Y")</f>
        <v>82.850499999999997</v>
      </c>
      <c r="Z65" s="14">
        <f>_xll.BDH("ALNY US Equity","GROSS_MARGIN","FQ4 2024","FQ4 2024","Currency=USD","Period=FQ","BEST_FPERIOD_OVERRIDE=FQ","FILING_STATUS=MR","FA_ADJUSTED=Adjusted","Sort=A","Dates=H","DateFormat=P","Fill=—","Direction=H","UseDPDF=Y")</f>
        <v>82.666399999999996</v>
      </c>
    </row>
    <row r="66" spans="1:26" x14ac:dyDescent="0.25">
      <c r="A66" s="10" t="s">
        <v>158</v>
      </c>
      <c r="B66" s="10" t="s">
        <v>159</v>
      </c>
      <c r="C66" s="14">
        <f>_xll.BDH("ALNY US Equity","OPER_MARGIN","FQ1 2019","FQ1 2019","Currency=USD","Period=FQ","BEST_FPERIOD_OVERRIDE=FQ","FILING_STATUS=MR","FA_ADJUSTED=Adjusted","Sort=A","Dates=H","DateFormat=P","Fill=—","Direction=H","UseDPDF=Y")</f>
        <v>-567.03309999999999</v>
      </c>
      <c r="D66" s="14">
        <f>_xll.BDH("ALNY US Equity","OPER_MARGIN","FQ2 2019","FQ2 2019","Currency=USD","Period=FQ","BEST_FPERIOD_OVERRIDE=FQ","FILING_STATUS=MR","FA_ADJUSTED=Adjusted","Sort=A","Dates=H","DateFormat=P","Fill=—","Direction=H","UseDPDF=Y")</f>
        <v>-528.40499999999997</v>
      </c>
      <c r="E66" s="14">
        <f>_xll.BDH("ALNY US Equity","OPER_MARGIN","FQ3 2019","FQ3 2019","Currency=USD","Period=FQ","BEST_FPERIOD_OVERRIDE=FQ","FILING_STATUS=MR","FA_ADJUSTED=Adjusted","Sort=A","Dates=H","DateFormat=P","Fill=—","Direction=H","UseDPDF=Y")</f>
        <v>-308.72949999999997</v>
      </c>
      <c r="F66" s="14">
        <f>_xll.BDH("ALNY US Equity","OPER_MARGIN","FQ4 2019","FQ4 2019","Currency=USD","Period=FQ","BEST_FPERIOD_OVERRIDE=FQ","FILING_STATUS=MR","FA_ADJUSTED=Adjusted","Sort=A","Dates=H","DateFormat=P","Fill=—","Direction=H","UseDPDF=Y")</f>
        <v>-415.83260000000001</v>
      </c>
      <c r="G66" s="14">
        <f>_xll.BDH("ALNY US Equity","OPER_MARGIN","FQ1 2020","FQ1 2020","Currency=USD","Period=FQ","BEST_FPERIOD_OVERRIDE=FQ","FILING_STATUS=MR","FA_ADJUSTED=Adjusted","Sort=A","Dates=H","DateFormat=P","Fill=—","Direction=H","UseDPDF=Y")</f>
        <v>-211.26499999999999</v>
      </c>
      <c r="H66" s="14">
        <f>_xll.BDH("ALNY US Equity","OPER_MARGIN","FQ2 2020","FQ2 2020","Currency=USD","Period=FQ","BEST_FPERIOD_OVERRIDE=FQ","FILING_STATUS=MR","FA_ADJUSTED=Adjusted","Sort=A","Dates=H","DateFormat=P","Fill=—","Direction=H","UseDPDF=Y")</f>
        <v>-192.06219999999999</v>
      </c>
      <c r="I66" s="14">
        <f>_xll.BDH("ALNY US Equity","OPER_MARGIN","FQ3 2020","FQ3 2020","Currency=USD","Period=FQ","BEST_FPERIOD_OVERRIDE=FQ","FILING_STATUS=MR","FA_ADJUSTED=Adjusted","Sort=A","Dates=H","DateFormat=P","Fill=—","Direction=H","UseDPDF=Y")</f>
        <v>-155.56720000000001</v>
      </c>
      <c r="J66" s="14">
        <f>_xll.BDH("ALNY US Equity","OPER_MARGIN","FQ4 2020","FQ4 2020","Currency=USD","Period=FQ","BEST_FPERIOD_OVERRIDE=FQ","FILING_STATUS=MR","FA_ADJUSTED=Adjusted","Sort=A","Dates=H","DateFormat=P","Fill=—","Direction=H","UseDPDF=Y")</f>
        <v>-112.4992</v>
      </c>
      <c r="K66" s="14">
        <f>_xll.BDH("ALNY US Equity","OPER_MARGIN","FQ1 2021","FQ1 2021","Currency=USD","Period=FQ","BEST_FPERIOD_OVERRIDE=FQ","FILING_STATUS=MR","FA_ADJUSTED=Adjusted","Sort=A","Dates=H","DateFormat=P","Fill=—","Direction=H","UseDPDF=Y")</f>
        <v>-104.89279999999999</v>
      </c>
      <c r="L66" s="14">
        <f>_xll.BDH("ALNY US Equity","OPER_MARGIN","FQ2 2021","FQ2 2021","Currency=USD","Period=FQ","BEST_FPERIOD_OVERRIDE=FQ","FILING_STATUS=MR","FA_ADJUSTED=Adjusted","Sort=A","Dates=H","DateFormat=P","Fill=—","Direction=H","UseDPDF=Y")</f>
        <v>-66.269800000000004</v>
      </c>
      <c r="M66" s="14">
        <f>_xll.BDH("ALNY US Equity","OPER_MARGIN","FQ3 2021","FQ3 2021","Currency=USD","Period=FQ","BEST_FPERIOD_OVERRIDE=FQ","FILING_STATUS=MR","FA_ADJUSTED=Adjusted","Sort=A","Dates=H","DateFormat=P","Fill=—","Direction=H","UseDPDF=Y")</f>
        <v>-91.496200000000002</v>
      </c>
      <c r="N66" s="14">
        <f>_xll.BDH("ALNY US Equity","OPER_MARGIN","FQ4 2021","FQ4 2021","Currency=USD","Period=FQ","BEST_FPERIOD_OVERRIDE=FQ","FILING_STATUS=MR","FA_ADJUSTED=Adjusted","Sort=A","Dates=H","DateFormat=P","Fill=—","Direction=H","UseDPDF=Y")</f>
        <v>-75.255200000000002</v>
      </c>
      <c r="O66" s="14">
        <f>_xll.BDH("ALNY US Equity","OPER_MARGIN","FQ1 2022","FQ1 2022","Currency=USD","Period=FQ","BEST_FPERIOD_OVERRIDE=FQ","FILING_STATUS=MR","FA_ADJUSTED=Adjusted","Sort=A","Dates=H","DateFormat=P","Fill=—","Direction=H","UseDPDF=Y")</f>
        <v>-68.804599999999994</v>
      </c>
      <c r="P66" s="14">
        <f>_xll.BDH("ALNY US Equity","OPER_MARGIN","FQ2 2022","FQ2 2022","Currency=USD","Period=FQ","BEST_FPERIOD_OVERRIDE=FQ","FILING_STATUS=MR","FA_ADJUSTED=Adjusted","Sort=A","Dates=H","DateFormat=P","Fill=—","Direction=H","UseDPDF=Y")</f>
        <v>-85.262699999999995</v>
      </c>
      <c r="Q66" s="14">
        <f>_xll.BDH("ALNY US Equity","OPER_MARGIN","FQ3 2022","FQ3 2022","Currency=USD","Period=FQ","BEST_FPERIOD_OVERRIDE=FQ","FILING_STATUS=MR","FA_ADJUSTED=Adjusted","Sort=A","Dates=H","DateFormat=P","Fill=—","Direction=H","UseDPDF=Y")</f>
        <v>-97.629300000000001</v>
      </c>
      <c r="R66" s="14">
        <f>_xll.BDH("ALNY US Equity","OPER_MARGIN","FQ4 2022","FQ4 2022","Currency=USD","Period=FQ","BEST_FPERIOD_OVERRIDE=FQ","FILING_STATUS=MR","FA_ADJUSTED=Adjusted","Sort=A","Dates=H","DateFormat=P","Fill=—","Direction=H","UseDPDF=Y")</f>
        <v>-56.296799999999998</v>
      </c>
      <c r="S66" s="14">
        <f>_xll.BDH("ALNY US Equity","OPER_MARGIN","FQ1 2023","FQ1 2023","Currency=USD","Period=FQ","BEST_FPERIOD_OVERRIDE=FQ","FILING_STATUS=MR","FA_ADJUSTED=Adjusted","Sort=A","Dates=H","DateFormat=P","Fill=—","Direction=H","UseDPDF=Y")</f>
        <v>-46.918799999999997</v>
      </c>
      <c r="T66" s="14">
        <f>_xll.BDH("ALNY US Equity","OPER_MARGIN","FQ2 2023","FQ2 2023","Currency=USD","Period=FQ","BEST_FPERIOD_OVERRIDE=FQ","FILING_STATUS=MR","FA_ADJUSTED=Adjusted","Sort=A","Dates=H","DateFormat=P","Fill=—","Direction=H","UseDPDF=Y")</f>
        <v>-72.102900000000005</v>
      </c>
      <c r="U66" s="14">
        <f>_xll.BDH("ALNY US Equity","OPER_MARGIN","FQ3 2023","FQ3 2023","Currency=USD","Period=FQ","BEST_FPERIOD_OVERRIDE=FQ","FILING_STATUS=MR","FA_ADJUSTED=Adjusted","Sort=A","Dates=H","DateFormat=P","Fill=—","Direction=H","UseDPDF=Y")</f>
        <v>28.4955</v>
      </c>
      <c r="V66" s="14">
        <f>_xll.BDH("ALNY US Equity","OPER_MARGIN","FQ4 2023","FQ4 2023","Currency=USD","Period=FQ","BEST_FPERIOD_OVERRIDE=FQ","FILING_STATUS=MR","FA_ADJUSTED=Adjusted","Sort=A","Dates=H","DateFormat=P","Fill=—","Direction=H","UseDPDF=Y")</f>
        <v>-26.4724</v>
      </c>
      <c r="W66" s="14">
        <f>_xll.BDH("ALNY US Equity","OPER_MARGIN","FQ1 2024","FQ1 2024","Currency=USD","Period=FQ","BEST_FPERIOD_OVERRIDE=FQ","FILING_STATUS=MR","FA_ADJUSTED=Adjusted","Sort=A","Dates=H","DateFormat=P","Fill=—","Direction=H","UseDPDF=Y")</f>
        <v>-8.7866</v>
      </c>
      <c r="X66" s="14">
        <f>_xll.BDH("ALNY US Equity","OPER_MARGIN","FQ2 2024","FQ2 2024","Currency=USD","Period=FQ","BEST_FPERIOD_OVERRIDE=FQ","FILING_STATUS=MR","FA_ADJUSTED=Adjusted","Sort=A","Dates=H","DateFormat=P","Fill=—","Direction=H","UseDPDF=Y")</f>
        <v>7.3677000000000001</v>
      </c>
      <c r="Y66" s="14">
        <f>_xll.BDH("ALNY US Equity","OPER_MARGIN","FQ3 2024","FQ3 2024","Currency=USD","Period=FQ","BEST_FPERIOD_OVERRIDE=FQ","FILING_STATUS=MR","FA_ADJUSTED=Adjusted","Sort=A","Dates=H","DateFormat=P","Fill=—","Direction=H","UseDPDF=Y")</f>
        <v>-15.3528</v>
      </c>
      <c r="Z66" s="14">
        <f>_xll.BDH("ALNY US Equity","OPER_MARGIN","FQ4 2024","FQ4 2024","Currency=USD","Period=FQ","BEST_FPERIOD_OVERRIDE=FQ","FILING_STATUS=MR","FA_ADJUSTED=Adjusted","Sort=A","Dates=H","DateFormat=P","Fill=—","Direction=H","UseDPDF=Y")</f>
        <v>-17.728400000000001</v>
      </c>
    </row>
    <row r="67" spans="1:26" x14ac:dyDescent="0.25">
      <c r="A67" s="10" t="s">
        <v>160</v>
      </c>
      <c r="B67" s="10" t="s">
        <v>161</v>
      </c>
      <c r="C67" s="14">
        <f>_xll.BDH("ALNY US Equity","PROF_MARGIN","FQ1 2019","FQ1 2019","Currency=USD","Period=FQ","BEST_FPERIOD_OVERRIDE=FQ","FILING_STATUS=MR","FA_ADJUSTED=Adjusted","Sort=A","Dates=H","DateFormat=P","Fill=—","Direction=H","UseDPDF=Y")</f>
        <v>-546.38969999999995</v>
      </c>
      <c r="D67" s="14">
        <f>_xll.BDH("ALNY US Equity","PROF_MARGIN","FQ2 2019","FQ2 2019","Currency=USD","Period=FQ","BEST_FPERIOD_OVERRIDE=FQ","FILING_STATUS=MR","FA_ADJUSTED=Adjusted","Sort=A","Dates=H","DateFormat=P","Fill=—","Direction=H","UseDPDF=Y")</f>
        <v>-511.92689999999999</v>
      </c>
      <c r="E67" s="14">
        <f>_xll.BDH("ALNY US Equity","PROF_MARGIN","FQ3 2019","FQ3 2019","Currency=USD","Period=FQ","BEST_FPERIOD_OVERRIDE=FQ","FILING_STATUS=MR","FA_ADJUSTED=Adjusted","Sort=A","Dates=H","DateFormat=P","Fill=—","Direction=H","UseDPDF=Y")</f>
        <v>-297.64780000000002</v>
      </c>
      <c r="F67" s="14">
        <f>_xll.BDH("ALNY US Equity","PROF_MARGIN","FQ4 2019","FQ4 2019","Currency=USD","Period=FQ","BEST_FPERIOD_OVERRIDE=FQ","FILING_STATUS=MR","FA_ADJUSTED=Adjusted","Sort=A","Dates=H","DateFormat=P","Fill=—","Direction=H","UseDPDF=Y")</f>
        <v>-401.01560000000001</v>
      </c>
      <c r="G67" s="14">
        <f>_xll.BDH("ALNY US Equity","PROF_MARGIN","FQ1 2020","FQ1 2020","Currency=USD","Period=FQ","BEST_FPERIOD_OVERRIDE=FQ","FILING_STATUS=MR","FA_ADJUSTED=Adjusted","Sort=A","Dates=H","DateFormat=P","Fill=—","Direction=H","UseDPDF=Y")</f>
        <v>-207.41890000000001</v>
      </c>
      <c r="H67" s="14">
        <f>_xll.BDH("ALNY US Equity","PROF_MARGIN","FQ2 2020","FQ2 2020","Currency=USD","Period=FQ","BEST_FPERIOD_OVERRIDE=FQ","FILING_STATUS=MR","FA_ADJUSTED=Adjusted","Sort=A","Dates=H","DateFormat=P","Fill=—","Direction=H","UseDPDF=Y")</f>
        <v>-216.5051</v>
      </c>
      <c r="I67" s="14">
        <f>_xll.BDH("ALNY US Equity","PROF_MARGIN","FQ3 2020","FQ3 2020","Currency=USD","Period=FQ","BEST_FPERIOD_OVERRIDE=FQ","FILING_STATUS=MR","FA_ADJUSTED=Adjusted","Sort=A","Dates=H","DateFormat=P","Fill=—","Direction=H","UseDPDF=Y")</f>
        <v>-175.49119999999999</v>
      </c>
      <c r="J67" s="14">
        <f>_xll.BDH("ALNY US Equity","PROF_MARGIN","FQ4 2020","FQ4 2020","Currency=USD","Period=FQ","BEST_FPERIOD_OVERRIDE=FQ","FILING_STATUS=MR","FA_ADJUSTED=Adjusted","Sort=A","Dates=H","DateFormat=P","Fill=—","Direction=H","UseDPDF=Y")</f>
        <v>-134.958</v>
      </c>
      <c r="K67" s="14">
        <f>_xll.BDH("ALNY US Equity","PROF_MARGIN","FQ1 2021","FQ1 2021","Currency=USD","Period=FQ","BEST_FPERIOD_OVERRIDE=FQ","FILING_STATUS=MR","FA_ADJUSTED=Adjusted","Sort=A","Dates=H","DateFormat=P","Fill=—","Direction=H","UseDPDF=Y")</f>
        <v>-139.27610000000001</v>
      </c>
      <c r="L67" s="14">
        <f>_xll.BDH("ALNY US Equity","PROF_MARGIN","FQ2 2021","FQ2 2021","Currency=USD","Period=FQ","BEST_FPERIOD_OVERRIDE=FQ","FILING_STATUS=MR","FA_ADJUSTED=Adjusted","Sort=A","Dates=H","DateFormat=P","Fill=—","Direction=H","UseDPDF=Y")</f>
        <v>-83.936700000000002</v>
      </c>
      <c r="M67" s="14">
        <f>_xll.BDH("ALNY US Equity","PROF_MARGIN","FQ3 2021","FQ3 2021","Currency=USD","Period=FQ","BEST_FPERIOD_OVERRIDE=FQ","FILING_STATUS=MR","FA_ADJUSTED=Adjusted","Sort=A","Dates=H","DateFormat=P","Fill=—","Direction=H","UseDPDF=Y")</f>
        <v>-113.62869999999999</v>
      </c>
      <c r="N67" s="14">
        <f>_xll.BDH("ALNY US Equity","PROF_MARGIN","FQ4 2021","FQ4 2021","Currency=USD","Period=FQ","BEST_FPERIOD_OVERRIDE=FQ","FILING_STATUS=MR","FA_ADJUSTED=Adjusted","Sort=A","Dates=H","DateFormat=P","Fill=—","Direction=H","UseDPDF=Y")</f>
        <v>-97.813400000000001</v>
      </c>
      <c r="O67" s="14">
        <f>_xll.BDH("ALNY US Equity","PROF_MARGIN","FQ1 2022","FQ1 2022","Currency=USD","Period=FQ","BEST_FPERIOD_OVERRIDE=FQ","FILING_STATUS=MR","FA_ADJUSTED=Adjusted","Sort=A","Dates=H","DateFormat=P","Fill=—","Direction=H","UseDPDF=Y")</f>
        <v>-98.087299999999999</v>
      </c>
      <c r="P67" s="14">
        <f>_xll.BDH("ALNY US Equity","PROF_MARGIN","FQ2 2022","FQ2 2022","Currency=USD","Period=FQ","BEST_FPERIOD_OVERRIDE=FQ","FILING_STATUS=MR","FA_ADJUSTED=Adjusted","Sort=A","Dates=H","DateFormat=P","Fill=—","Direction=H","UseDPDF=Y")</f>
        <v>-122.9016</v>
      </c>
      <c r="Q67" s="14">
        <f>_xll.BDH("ALNY US Equity","PROF_MARGIN","FQ3 2022","FQ3 2022","Currency=USD","Period=FQ","BEST_FPERIOD_OVERRIDE=FQ","FILING_STATUS=MR","FA_ADJUSTED=Adjusted","Sort=A","Dates=H","DateFormat=P","Fill=—","Direction=H","UseDPDF=Y")</f>
        <v>-121.63330000000001</v>
      </c>
      <c r="R67" s="14">
        <f>_xll.BDH("ALNY US Equity","PROF_MARGIN","FQ4 2022","FQ4 2022","Currency=USD","Period=FQ","BEST_FPERIOD_OVERRIDE=FQ","FILING_STATUS=MR","FA_ADJUSTED=Adjusted","Sort=A","Dates=H","DateFormat=P","Fill=—","Direction=H","UseDPDF=Y")</f>
        <v>-63.9602</v>
      </c>
      <c r="S67" s="14">
        <f>_xll.BDH("ALNY US Equity","PROF_MARGIN","FQ1 2023","FQ1 2023","Currency=USD","Period=FQ","BEST_FPERIOD_OVERRIDE=FQ","FILING_STATUS=MR","FA_ADJUSTED=Adjusted","Sort=A","Dates=H","DateFormat=P","Fill=—","Direction=H","UseDPDF=Y")</f>
        <v>-53.817500000000003</v>
      </c>
      <c r="T67" s="14">
        <f>_xll.BDH("ALNY US Equity","PROF_MARGIN","FQ2 2023","FQ2 2023","Currency=USD","Period=FQ","BEST_FPERIOD_OVERRIDE=FQ","FILING_STATUS=MR","FA_ADJUSTED=Adjusted","Sort=A","Dates=H","DateFormat=P","Fill=—","Direction=H","UseDPDF=Y")</f>
        <v>-87.033900000000003</v>
      </c>
      <c r="U67" s="14">
        <f>_xll.BDH("ALNY US Equity","PROF_MARGIN","FQ3 2023","FQ3 2023","Currency=USD","Period=FQ","BEST_FPERIOD_OVERRIDE=FQ","FILING_STATUS=MR","FA_ADJUSTED=Adjusted","Sort=A","Dates=H","DateFormat=P","Fill=—","Direction=H","UseDPDF=Y")</f>
        <v>21.930800000000001</v>
      </c>
      <c r="V67" s="14">
        <f>_xll.BDH("ALNY US Equity","PROF_MARGIN","FQ4 2023","FQ4 2023","Currency=USD","Period=FQ","BEST_FPERIOD_OVERRIDE=FQ","FILING_STATUS=MR","FA_ADJUSTED=Adjusted","Sort=A","Dates=H","DateFormat=P","Fill=—","Direction=H","UseDPDF=Y")</f>
        <v>-31.528600000000001</v>
      </c>
      <c r="W67" s="14">
        <f>_xll.BDH("ALNY US Equity","PROF_MARGIN","FQ1 2024","FQ1 2024","Currency=USD","Period=FQ","BEST_FPERIOD_OVERRIDE=FQ","FILING_STATUS=MR","FA_ADJUSTED=Adjusted","Sort=A","Dates=H","DateFormat=P","Fill=—","Direction=H","UseDPDF=Y")</f>
        <v>-13.353999999999999</v>
      </c>
      <c r="X67" s="14">
        <f>_xll.BDH("ALNY US Equity","PROF_MARGIN","FQ2 2024","FQ2 2024","Currency=USD","Period=FQ","BEST_FPERIOD_OVERRIDE=FQ","FILING_STATUS=MR","FA_ADJUSTED=Adjusted","Sort=A","Dates=H","DateFormat=P","Fill=—","Direction=H","UseDPDF=Y")</f>
        <v>-2.3523999999999998</v>
      </c>
      <c r="Y67" s="14">
        <f>_xll.BDH("ALNY US Equity","PROF_MARGIN","FQ3 2024","FQ3 2024","Currency=USD","Period=FQ","BEST_FPERIOD_OVERRIDE=FQ","FILING_STATUS=MR","FA_ADJUSTED=Adjusted","Sort=A","Dates=H","DateFormat=P","Fill=—","Direction=H","UseDPDF=Y")</f>
        <v>-21.9602</v>
      </c>
      <c r="Z67" s="14">
        <f>_xll.BDH("ALNY US Equity","PROF_MARGIN","FQ4 2024","FQ4 2024","Currency=USD","Period=FQ","BEST_FPERIOD_OVERRIDE=FQ","FILING_STATUS=MR","FA_ADJUSTED=Adjusted","Sort=A","Dates=H","DateFormat=P","Fill=—","Direction=H","UseDPDF=Y")</f>
        <v>-14.093400000000001</v>
      </c>
    </row>
    <row r="68" spans="1:26" x14ac:dyDescent="0.25">
      <c r="A68" s="10" t="s">
        <v>162</v>
      </c>
      <c r="B68" s="10" t="s">
        <v>163</v>
      </c>
      <c r="C68" s="14" t="str">
        <f>_xll.BDH("ALNY US Equity","ACTUAL_SALES_PER_EMPL","FQ1 2019","FQ1 2019","Currency=USD","Period=FQ","BEST_FPERIOD_OVERRIDE=FQ","FILING_STATUS=MR","FA_ADJUSTED=Adjusted","Sort=A","Dates=H","DateFormat=P","Fill=—","Direction=H","UseDPDF=Y")</f>
        <v>—</v>
      </c>
      <c r="D68" s="14" t="str">
        <f>_xll.BDH("ALNY US Equity","ACTUAL_SALES_PER_EMPL","FQ2 2019","FQ2 2019","Currency=USD","Period=FQ","BEST_FPERIOD_OVERRIDE=FQ","FILING_STATUS=MR","FA_ADJUSTED=Adjusted","Sort=A","Dates=H","DateFormat=P","Fill=—","Direction=H","UseDPDF=Y")</f>
        <v>—</v>
      </c>
      <c r="E68" s="14" t="str">
        <f>_xll.BDH("ALNY US Equity","ACTUAL_SALES_PER_EMPL","FQ3 2019","FQ3 2019","Currency=USD","Period=FQ","BEST_FPERIOD_OVERRIDE=FQ","FILING_STATUS=MR","FA_ADJUSTED=Adjusted","Sort=A","Dates=H","DateFormat=P","Fill=—","Direction=H","UseDPDF=Y")</f>
        <v>—</v>
      </c>
      <c r="F68" s="14">
        <f>_xll.BDH("ALNY US Equity","ACTUAL_SALES_PER_EMPL","FQ4 2019","FQ4 2019","Currency=USD","Period=FQ","BEST_FPERIOD_OVERRIDE=FQ","FILING_STATUS=MR","FA_ADJUSTED=Adjusted","Sort=A","Dates=H","DateFormat=P","Fill=—","Direction=H","UseDPDF=Y")</f>
        <v>54180.65</v>
      </c>
      <c r="G68" s="14" t="str">
        <f>_xll.BDH("ALNY US Equity","ACTUAL_SALES_PER_EMPL","FQ1 2020","FQ1 2020","Currency=USD","Period=FQ","BEST_FPERIOD_OVERRIDE=FQ","FILING_STATUS=MR","FA_ADJUSTED=Adjusted","Sort=A","Dates=H","DateFormat=P","Fill=—","Direction=H","UseDPDF=Y")</f>
        <v>—</v>
      </c>
      <c r="H68" s="14" t="str">
        <f>_xll.BDH("ALNY US Equity","ACTUAL_SALES_PER_EMPL","FQ2 2020","FQ2 2020","Currency=USD","Period=FQ","BEST_FPERIOD_OVERRIDE=FQ","FILING_STATUS=MR","FA_ADJUSTED=Adjusted","Sort=A","Dates=H","DateFormat=P","Fill=—","Direction=H","UseDPDF=Y")</f>
        <v>—</v>
      </c>
      <c r="I68" s="14" t="str">
        <f>_xll.BDH("ALNY US Equity","ACTUAL_SALES_PER_EMPL","FQ3 2020","FQ3 2020","Currency=USD","Period=FQ","BEST_FPERIOD_OVERRIDE=FQ","FILING_STATUS=MR","FA_ADJUSTED=Adjusted","Sort=A","Dates=H","DateFormat=P","Fill=—","Direction=H","UseDPDF=Y")</f>
        <v>—</v>
      </c>
      <c r="J68" s="14">
        <f>_xll.BDH("ALNY US Equity","ACTUAL_SALES_PER_EMPL","FQ4 2020","FQ4 2020","Currency=USD","Period=FQ","BEST_FPERIOD_OVERRIDE=FQ","FILING_STATUS=MR","FA_ADJUSTED=Adjusted","Sort=A","Dates=H","DateFormat=P","Fill=—","Direction=H","UseDPDF=Y")</f>
        <v>112568.47900000001</v>
      </c>
      <c r="K68" s="14" t="str">
        <f>_xll.BDH("ALNY US Equity","ACTUAL_SALES_PER_EMPL","FQ1 2021","FQ1 2021","Currency=USD","Period=FQ","BEST_FPERIOD_OVERRIDE=FQ","FILING_STATUS=MR","FA_ADJUSTED=Adjusted","Sort=A","Dates=H","DateFormat=P","Fill=—","Direction=H","UseDPDF=Y")</f>
        <v>—</v>
      </c>
      <c r="L68" s="14" t="str">
        <f>_xll.BDH("ALNY US Equity","ACTUAL_SALES_PER_EMPL","FQ2 2021","FQ2 2021","Currency=USD","Period=FQ","BEST_FPERIOD_OVERRIDE=FQ","FILING_STATUS=MR","FA_ADJUSTED=Adjusted","Sort=A","Dates=H","DateFormat=P","Fill=—","Direction=H","UseDPDF=Y")</f>
        <v>—</v>
      </c>
      <c r="M68" s="14" t="str">
        <f>_xll.BDH("ALNY US Equity","ACTUAL_SALES_PER_EMPL","FQ3 2021","FQ3 2021","Currency=USD","Period=FQ","BEST_FPERIOD_OVERRIDE=FQ","FILING_STATUS=MR","FA_ADJUSTED=Adjusted","Sort=A","Dates=H","DateFormat=P","Fill=—","Direction=H","UseDPDF=Y")</f>
        <v>—</v>
      </c>
      <c r="N68" s="14">
        <f>_xll.BDH("ALNY US Equity","ACTUAL_SALES_PER_EMPL","FQ4 2021","FQ4 2021","Currency=USD","Period=FQ","BEST_FPERIOD_OVERRIDE=FQ","FILING_STATUS=MR","FA_ADJUSTED=Adjusted","Sort=A","Dates=H","DateFormat=P","Fill=—","Direction=H","UseDPDF=Y")</f>
        <v>155276.2763</v>
      </c>
      <c r="O68" s="14" t="str">
        <f>_xll.BDH("ALNY US Equity","ACTUAL_SALES_PER_EMPL","FQ1 2022","FQ1 2022","Currency=USD","Period=FQ","BEST_FPERIOD_OVERRIDE=FQ","FILING_STATUS=MR","FA_ADJUSTED=Adjusted","Sort=A","Dates=H","DateFormat=P","Fill=—","Direction=H","UseDPDF=Y")</f>
        <v>—</v>
      </c>
      <c r="P68" s="14" t="str">
        <f>_xll.BDH("ALNY US Equity","ACTUAL_SALES_PER_EMPL","FQ2 2022","FQ2 2022","Currency=USD","Period=FQ","BEST_FPERIOD_OVERRIDE=FQ","FILING_STATUS=MR","FA_ADJUSTED=Adjusted","Sort=A","Dates=H","DateFormat=P","Fill=—","Direction=H","UseDPDF=Y")</f>
        <v>—</v>
      </c>
      <c r="Q68" s="14" t="str">
        <f>_xll.BDH("ALNY US Equity","ACTUAL_SALES_PER_EMPL","FQ3 2022","FQ3 2022","Currency=USD","Period=FQ","BEST_FPERIOD_OVERRIDE=FQ","FILING_STATUS=MR","FA_ADJUSTED=Adjusted","Sort=A","Dates=H","DateFormat=P","Fill=—","Direction=H","UseDPDF=Y")</f>
        <v>—</v>
      </c>
      <c r="R68" s="14">
        <f>_xll.BDH("ALNY US Equity","ACTUAL_SALES_PER_EMPL","FQ4 2022","FQ4 2022","Currency=USD","Period=FQ","BEST_FPERIOD_OVERRIDE=FQ","FILING_STATUS=MR","FA_ADJUSTED=Adjusted","Sort=A","Dates=H","DateFormat=P","Fill=—","Direction=H","UseDPDF=Y")</f>
        <v>167350.14989999999</v>
      </c>
      <c r="S68" s="14" t="str">
        <f>_xll.BDH("ALNY US Equity","ACTUAL_SALES_PER_EMPL","FQ1 2023","FQ1 2023","Currency=USD","Period=FQ","BEST_FPERIOD_OVERRIDE=FQ","FILING_STATUS=MR","FA_ADJUSTED=Adjusted","Sort=A","Dates=H","DateFormat=P","Fill=—","Direction=H","UseDPDF=Y")</f>
        <v>—</v>
      </c>
      <c r="T68" s="14" t="str">
        <f>_xll.BDH("ALNY US Equity","ACTUAL_SALES_PER_EMPL","FQ2 2023","FQ2 2023","Currency=USD","Period=FQ","BEST_FPERIOD_OVERRIDE=FQ","FILING_STATUS=MR","FA_ADJUSTED=Adjusted","Sort=A","Dates=H","DateFormat=P","Fill=—","Direction=H","UseDPDF=Y")</f>
        <v>—</v>
      </c>
      <c r="U68" s="14" t="str">
        <f>_xll.BDH("ALNY US Equity","ACTUAL_SALES_PER_EMPL","FQ3 2023","FQ3 2023","Currency=USD","Period=FQ","BEST_FPERIOD_OVERRIDE=FQ","FILING_STATUS=MR","FA_ADJUSTED=Adjusted","Sort=A","Dates=H","DateFormat=P","Fill=—","Direction=H","UseDPDF=Y")</f>
        <v>—</v>
      </c>
      <c r="V68" s="14">
        <f>_xll.BDH("ALNY US Equity","ACTUAL_SALES_PER_EMPL","FQ4 2023","FQ4 2023","Currency=USD","Period=FQ","BEST_FPERIOD_OVERRIDE=FQ","FILING_STATUS=MR","FA_ADJUSTED=Adjusted","Sort=A","Dates=H","DateFormat=P","Fill=—","Direction=H","UseDPDF=Y")</f>
        <v>209389.5238</v>
      </c>
      <c r="W68" s="14" t="str">
        <f>_xll.BDH("ALNY US Equity","ACTUAL_SALES_PER_EMPL","FQ1 2024","FQ1 2024","Currency=USD","Period=FQ","BEST_FPERIOD_OVERRIDE=FQ","FILING_STATUS=MR","FA_ADJUSTED=Adjusted","Sort=A","Dates=H","DateFormat=P","Fill=—","Direction=H","UseDPDF=Y")</f>
        <v>—</v>
      </c>
      <c r="X68" s="14" t="str">
        <f>_xll.BDH("ALNY US Equity","ACTUAL_SALES_PER_EMPL","FQ2 2024","FQ2 2024","Currency=USD","Period=FQ","BEST_FPERIOD_OVERRIDE=FQ","FILING_STATUS=MR","FA_ADJUSTED=Adjusted","Sort=A","Dates=H","DateFormat=P","Fill=—","Direction=H","UseDPDF=Y")</f>
        <v>—</v>
      </c>
      <c r="Y68" s="14" t="str">
        <f>_xll.BDH("ALNY US Equity","ACTUAL_SALES_PER_EMPL","FQ3 2024","FQ3 2024","Currency=USD","Period=FQ","BEST_FPERIOD_OVERRIDE=FQ","FILING_STATUS=MR","FA_ADJUSTED=Adjusted","Sort=A","Dates=H","DateFormat=P","Fill=—","Direction=H","UseDPDF=Y")</f>
        <v>—</v>
      </c>
      <c r="Z68" s="14">
        <f>_xll.BDH("ALNY US Equity","ACTUAL_SALES_PER_EMPL","FQ4 2024","FQ4 2024","Currency=USD","Period=FQ","BEST_FPERIOD_OVERRIDE=FQ","FILING_STATUS=MR","FA_ADJUSTED=Adjusted","Sort=A","Dates=H","DateFormat=P","Fill=—","Direction=H","UseDPDF=Y")</f>
        <v>265993.72200000001</v>
      </c>
    </row>
    <row r="69" spans="1:26" x14ac:dyDescent="0.25">
      <c r="A69" s="10" t="s">
        <v>164</v>
      </c>
      <c r="B69" s="10" t="s">
        <v>165</v>
      </c>
      <c r="C69" s="14">
        <f>_xll.BDH("ALNY US Equity","EQY_DPS","FQ1 2019","FQ1 2019","Currency=USD","Period=FQ","BEST_FPERIOD_OVERRIDE=FQ","FILING_STATUS=MR","Sort=A","Dates=H","DateFormat=P","Fill=—","Direction=H","UseDPDF=Y")</f>
        <v>0</v>
      </c>
      <c r="D69" s="14">
        <f>_xll.BDH("ALNY US Equity","EQY_DPS","FQ2 2019","FQ2 2019","Currency=USD","Period=FQ","BEST_FPERIOD_OVERRIDE=FQ","FILING_STATUS=MR","Sort=A","Dates=H","DateFormat=P","Fill=—","Direction=H","UseDPDF=Y")</f>
        <v>0</v>
      </c>
      <c r="E69" s="14">
        <f>_xll.BDH("ALNY US Equity","EQY_DPS","FQ3 2019","FQ3 2019","Currency=USD","Period=FQ","BEST_FPERIOD_OVERRIDE=FQ","FILING_STATUS=MR","Sort=A","Dates=H","DateFormat=P","Fill=—","Direction=H","UseDPDF=Y")</f>
        <v>0</v>
      </c>
      <c r="F69" s="14">
        <f>_xll.BDH("ALNY US Equity","EQY_DPS","FQ4 2019","FQ4 2019","Currency=USD","Period=FQ","BEST_FPERIOD_OVERRIDE=FQ","FILING_STATUS=MR","Sort=A","Dates=H","DateFormat=P","Fill=—","Direction=H","UseDPDF=Y")</f>
        <v>0</v>
      </c>
      <c r="G69" s="14">
        <f>_xll.BDH("ALNY US Equity","EQY_DPS","FQ1 2020","FQ1 2020","Currency=USD","Period=FQ","BEST_FPERIOD_OVERRIDE=FQ","FILING_STATUS=MR","Sort=A","Dates=H","DateFormat=P","Fill=—","Direction=H","UseDPDF=Y")</f>
        <v>0</v>
      </c>
      <c r="H69" s="14">
        <f>_xll.BDH("ALNY US Equity","EQY_DPS","FQ2 2020","FQ2 2020","Currency=USD","Period=FQ","BEST_FPERIOD_OVERRIDE=FQ","FILING_STATUS=MR","Sort=A","Dates=H","DateFormat=P","Fill=—","Direction=H","UseDPDF=Y")</f>
        <v>0</v>
      </c>
      <c r="I69" s="14">
        <f>_xll.BDH("ALNY US Equity","EQY_DPS","FQ3 2020","FQ3 2020","Currency=USD","Period=FQ","BEST_FPERIOD_OVERRIDE=FQ","FILING_STATUS=MR","Sort=A","Dates=H","DateFormat=P","Fill=—","Direction=H","UseDPDF=Y")</f>
        <v>0</v>
      </c>
      <c r="J69" s="14">
        <f>_xll.BDH("ALNY US Equity","EQY_DPS","FQ4 2020","FQ4 2020","Currency=USD","Period=FQ","BEST_FPERIOD_OVERRIDE=FQ","FILING_STATUS=MR","Sort=A","Dates=H","DateFormat=P","Fill=—","Direction=H","UseDPDF=Y")</f>
        <v>0</v>
      </c>
      <c r="K69" s="14">
        <f>_xll.BDH("ALNY US Equity","EQY_DPS","FQ1 2021","FQ1 2021","Currency=USD","Period=FQ","BEST_FPERIOD_OVERRIDE=FQ","FILING_STATUS=MR","Sort=A","Dates=H","DateFormat=P","Fill=—","Direction=H","UseDPDF=Y")</f>
        <v>0</v>
      </c>
      <c r="L69" s="14">
        <f>_xll.BDH("ALNY US Equity","EQY_DPS","FQ2 2021","FQ2 2021","Currency=USD","Period=FQ","BEST_FPERIOD_OVERRIDE=FQ","FILING_STATUS=MR","Sort=A","Dates=H","DateFormat=P","Fill=—","Direction=H","UseDPDF=Y")</f>
        <v>0</v>
      </c>
      <c r="M69" s="14">
        <f>_xll.BDH("ALNY US Equity","EQY_DPS","FQ3 2021","FQ3 2021","Currency=USD","Period=FQ","BEST_FPERIOD_OVERRIDE=FQ","FILING_STATUS=MR","Sort=A","Dates=H","DateFormat=P","Fill=—","Direction=H","UseDPDF=Y")</f>
        <v>0</v>
      </c>
      <c r="N69" s="14">
        <f>_xll.BDH("ALNY US Equity","EQY_DPS","FQ4 2021","FQ4 2021","Currency=USD","Period=FQ","BEST_FPERIOD_OVERRIDE=FQ","FILING_STATUS=MR","Sort=A","Dates=H","DateFormat=P","Fill=—","Direction=H","UseDPDF=Y")</f>
        <v>0</v>
      </c>
      <c r="O69" s="14">
        <f>_xll.BDH("ALNY US Equity","EQY_DPS","FQ1 2022","FQ1 2022","Currency=USD","Period=FQ","BEST_FPERIOD_OVERRIDE=FQ","FILING_STATUS=MR","Sort=A","Dates=H","DateFormat=P","Fill=—","Direction=H","UseDPDF=Y")</f>
        <v>0</v>
      </c>
      <c r="P69" s="14">
        <f>_xll.BDH("ALNY US Equity","EQY_DPS","FQ2 2022","FQ2 2022","Currency=USD","Period=FQ","BEST_FPERIOD_OVERRIDE=FQ","FILING_STATUS=MR","Sort=A","Dates=H","DateFormat=P","Fill=—","Direction=H","UseDPDF=Y")</f>
        <v>0</v>
      </c>
      <c r="Q69" s="14">
        <f>_xll.BDH("ALNY US Equity","EQY_DPS","FQ3 2022","FQ3 2022","Currency=USD","Period=FQ","BEST_FPERIOD_OVERRIDE=FQ","FILING_STATUS=MR","Sort=A","Dates=H","DateFormat=P","Fill=—","Direction=H","UseDPDF=Y")</f>
        <v>0</v>
      </c>
      <c r="R69" s="14">
        <f>_xll.BDH("ALNY US Equity","EQY_DPS","FQ4 2022","FQ4 2022","Currency=USD","Period=FQ","BEST_FPERIOD_OVERRIDE=FQ","FILING_STATUS=MR","Sort=A","Dates=H","DateFormat=P","Fill=—","Direction=H","UseDPDF=Y")</f>
        <v>0</v>
      </c>
      <c r="S69" s="14">
        <f>_xll.BDH("ALNY US Equity","EQY_DPS","FQ1 2023","FQ1 2023","Currency=USD","Period=FQ","BEST_FPERIOD_OVERRIDE=FQ","FILING_STATUS=MR","Sort=A","Dates=H","DateFormat=P","Fill=—","Direction=H","UseDPDF=Y")</f>
        <v>0</v>
      </c>
      <c r="T69" s="14">
        <f>_xll.BDH("ALNY US Equity","EQY_DPS","FQ2 2023","FQ2 2023","Currency=USD","Period=FQ","BEST_FPERIOD_OVERRIDE=FQ","FILING_STATUS=MR","Sort=A","Dates=H","DateFormat=P","Fill=—","Direction=H","UseDPDF=Y")</f>
        <v>0</v>
      </c>
      <c r="U69" s="14">
        <f>_xll.BDH("ALNY US Equity","EQY_DPS","FQ3 2023","FQ3 2023","Currency=USD","Period=FQ","BEST_FPERIOD_OVERRIDE=FQ","FILING_STATUS=MR","Sort=A","Dates=H","DateFormat=P","Fill=—","Direction=H","UseDPDF=Y")</f>
        <v>0</v>
      </c>
      <c r="V69" s="14">
        <f>_xll.BDH("ALNY US Equity","EQY_DPS","FQ4 2023","FQ4 2023","Currency=USD","Period=FQ","BEST_FPERIOD_OVERRIDE=FQ","FILING_STATUS=MR","Sort=A","Dates=H","DateFormat=P","Fill=—","Direction=H","UseDPDF=Y")</f>
        <v>0</v>
      </c>
      <c r="W69" s="14">
        <f>_xll.BDH("ALNY US Equity","EQY_DPS","FQ1 2024","FQ1 2024","Currency=USD","Period=FQ","BEST_FPERIOD_OVERRIDE=FQ","FILING_STATUS=MR","Sort=A","Dates=H","DateFormat=P","Fill=—","Direction=H","UseDPDF=Y")</f>
        <v>0</v>
      </c>
      <c r="X69" s="14">
        <f>_xll.BDH("ALNY US Equity","EQY_DPS","FQ2 2024","FQ2 2024","Currency=USD","Period=FQ","BEST_FPERIOD_OVERRIDE=FQ","FILING_STATUS=MR","Sort=A","Dates=H","DateFormat=P","Fill=—","Direction=H","UseDPDF=Y")</f>
        <v>0</v>
      </c>
      <c r="Y69" s="14">
        <f>_xll.BDH("ALNY US Equity","EQY_DPS","FQ3 2024","FQ3 2024","Currency=USD","Period=FQ","BEST_FPERIOD_OVERRIDE=FQ","FILING_STATUS=MR","Sort=A","Dates=H","DateFormat=P","Fill=—","Direction=H","UseDPDF=Y")</f>
        <v>0</v>
      </c>
      <c r="Z69" s="14">
        <f>_xll.BDH("ALNY US Equity","EQY_DPS","FQ4 2024","FQ4 2024","Currency=USD","Period=FQ","BEST_FPERIOD_OVERRIDE=FQ","FILING_STATUS=MR","Sort=A","Dates=H","DateFormat=P","Fill=—","Direction=H","UseDPDF=Y")</f>
        <v>0</v>
      </c>
    </row>
    <row r="70" spans="1:26" x14ac:dyDescent="0.25">
      <c r="A70" s="10" t="s">
        <v>166</v>
      </c>
      <c r="B70" s="10" t="s">
        <v>167</v>
      </c>
      <c r="C70" s="13">
        <f>_xll.BDH("ALNY US Equity","IS_TOT_CASH_COM_DVD","FQ1 2019","FQ1 2019","Currency=USD","Period=FQ","BEST_FPERIOD_OVERRIDE=FQ","FILING_STATUS=MR","SCALING_FORMAT=MLN","Sort=A","Dates=H","DateFormat=P","Fill=—","Direction=H","UseDPDF=Y")</f>
        <v>0</v>
      </c>
      <c r="D70" s="13">
        <f>_xll.BDH("ALNY US Equity","IS_TOT_CASH_COM_DVD","FQ2 2019","FQ2 2019","Currency=USD","Period=FQ","BEST_FPERIOD_OVERRIDE=FQ","FILING_STATUS=MR","SCALING_FORMAT=MLN","Sort=A","Dates=H","DateFormat=P","Fill=—","Direction=H","UseDPDF=Y")</f>
        <v>0</v>
      </c>
      <c r="E70" s="13">
        <f>_xll.BDH("ALNY US Equity","IS_TOT_CASH_COM_DVD","FQ3 2019","FQ3 2019","Currency=USD","Period=FQ","BEST_FPERIOD_OVERRIDE=FQ","FILING_STATUS=MR","SCALING_FORMAT=MLN","Sort=A","Dates=H","DateFormat=P","Fill=—","Direction=H","UseDPDF=Y")</f>
        <v>0</v>
      </c>
      <c r="F70" s="13">
        <f>_xll.BDH("ALNY US Equity","IS_TOT_CASH_COM_DVD","FQ4 2019","FQ4 2019","Currency=USD","Period=FQ","BEST_FPERIOD_OVERRIDE=FQ","FILING_STATUS=MR","SCALING_FORMAT=MLN","Sort=A","Dates=H","DateFormat=P","Fill=—","Direction=H","UseDPDF=Y")</f>
        <v>0</v>
      </c>
      <c r="G70" s="13">
        <f>_xll.BDH("ALNY US Equity","IS_TOT_CASH_COM_DVD","FQ1 2020","FQ1 2020","Currency=USD","Period=FQ","BEST_FPERIOD_OVERRIDE=FQ","FILING_STATUS=MR","SCALING_FORMAT=MLN","Sort=A","Dates=H","DateFormat=P","Fill=—","Direction=H","UseDPDF=Y")</f>
        <v>0</v>
      </c>
      <c r="H70" s="13">
        <f>_xll.BDH("ALNY US Equity","IS_TOT_CASH_COM_DVD","FQ2 2020","FQ2 2020","Currency=USD","Period=FQ","BEST_FPERIOD_OVERRIDE=FQ","FILING_STATUS=MR","SCALING_FORMAT=MLN","Sort=A","Dates=H","DateFormat=P","Fill=—","Direction=H","UseDPDF=Y")</f>
        <v>0</v>
      </c>
      <c r="I70" s="13">
        <f>_xll.BDH("ALNY US Equity","IS_TOT_CASH_COM_DVD","FQ3 2020","FQ3 2020","Currency=USD","Period=FQ","BEST_FPERIOD_OVERRIDE=FQ","FILING_STATUS=MR","SCALING_FORMAT=MLN","Sort=A","Dates=H","DateFormat=P","Fill=—","Direction=H","UseDPDF=Y")</f>
        <v>0</v>
      </c>
      <c r="J70" s="13">
        <f>_xll.BDH("ALNY US Equity","IS_TOT_CASH_COM_DVD","FQ4 2020","FQ4 2020","Currency=USD","Period=FQ","BEST_FPERIOD_OVERRIDE=FQ","FILING_STATUS=MR","SCALING_FORMAT=MLN","Sort=A","Dates=H","DateFormat=P","Fill=—","Direction=H","UseDPDF=Y")</f>
        <v>0</v>
      </c>
      <c r="K70" s="13">
        <f>_xll.BDH("ALNY US Equity","IS_TOT_CASH_COM_DVD","FQ1 2021","FQ1 2021","Currency=USD","Period=FQ","BEST_FPERIOD_OVERRIDE=FQ","FILING_STATUS=MR","SCALING_FORMAT=MLN","Sort=A","Dates=H","DateFormat=P","Fill=—","Direction=H","UseDPDF=Y")</f>
        <v>0</v>
      </c>
      <c r="L70" s="13">
        <f>_xll.BDH("ALNY US Equity","IS_TOT_CASH_COM_DVD","FQ2 2021","FQ2 2021","Currency=USD","Period=FQ","BEST_FPERIOD_OVERRIDE=FQ","FILING_STATUS=MR","SCALING_FORMAT=MLN","Sort=A","Dates=H","DateFormat=P","Fill=—","Direction=H","UseDPDF=Y")</f>
        <v>0</v>
      </c>
      <c r="M70" s="13">
        <f>_xll.BDH("ALNY US Equity","IS_TOT_CASH_COM_DVD","FQ3 2021","FQ3 2021","Currency=USD","Period=FQ","BEST_FPERIOD_OVERRIDE=FQ","FILING_STATUS=MR","SCALING_FORMAT=MLN","Sort=A","Dates=H","DateFormat=P","Fill=—","Direction=H","UseDPDF=Y")</f>
        <v>0</v>
      </c>
      <c r="N70" s="13">
        <f>_xll.BDH("ALNY US Equity","IS_TOT_CASH_COM_DVD","FQ4 2021","FQ4 2021","Currency=USD","Period=FQ","BEST_FPERIOD_OVERRIDE=FQ","FILING_STATUS=MR","SCALING_FORMAT=MLN","Sort=A","Dates=H","DateFormat=P","Fill=—","Direction=H","UseDPDF=Y")</f>
        <v>0</v>
      </c>
      <c r="O70" s="13">
        <f>_xll.BDH("ALNY US Equity","IS_TOT_CASH_COM_DVD","FQ1 2022","FQ1 2022","Currency=USD","Period=FQ","BEST_FPERIOD_OVERRIDE=FQ","FILING_STATUS=MR","SCALING_FORMAT=MLN","Sort=A","Dates=H","DateFormat=P","Fill=—","Direction=H","UseDPDF=Y")</f>
        <v>0</v>
      </c>
      <c r="P70" s="13">
        <f>_xll.BDH("ALNY US Equity","IS_TOT_CASH_COM_DVD","FQ2 2022","FQ2 2022","Currency=USD","Period=FQ","BEST_FPERIOD_OVERRIDE=FQ","FILING_STATUS=MR","SCALING_FORMAT=MLN","Sort=A","Dates=H","DateFormat=P","Fill=—","Direction=H","UseDPDF=Y")</f>
        <v>0</v>
      </c>
      <c r="Q70" s="13">
        <f>_xll.BDH("ALNY US Equity","IS_TOT_CASH_COM_DVD","FQ3 2022","FQ3 2022","Currency=USD","Period=FQ","BEST_FPERIOD_OVERRIDE=FQ","FILING_STATUS=MR","SCALING_FORMAT=MLN","Sort=A","Dates=H","DateFormat=P","Fill=—","Direction=H","UseDPDF=Y")</f>
        <v>0</v>
      </c>
      <c r="R70" s="13">
        <f>_xll.BDH("ALNY US Equity","IS_TOT_CASH_COM_DVD","FQ4 2022","FQ4 2022","Currency=USD","Period=FQ","BEST_FPERIOD_OVERRIDE=FQ","FILING_STATUS=MR","SCALING_FORMAT=MLN","Sort=A","Dates=H","DateFormat=P","Fill=—","Direction=H","UseDPDF=Y")</f>
        <v>0</v>
      </c>
      <c r="S70" s="13">
        <f>_xll.BDH("ALNY US Equity","IS_TOT_CASH_COM_DVD","FQ1 2023","FQ1 2023","Currency=USD","Period=FQ","BEST_FPERIOD_OVERRIDE=FQ","FILING_STATUS=MR","SCALING_FORMAT=MLN","Sort=A","Dates=H","DateFormat=P","Fill=—","Direction=H","UseDPDF=Y")</f>
        <v>0</v>
      </c>
      <c r="T70" s="13">
        <f>_xll.BDH("ALNY US Equity","IS_TOT_CASH_COM_DVD","FQ2 2023","FQ2 2023","Currency=USD","Period=FQ","BEST_FPERIOD_OVERRIDE=FQ","FILING_STATUS=MR","SCALING_FORMAT=MLN","Sort=A","Dates=H","DateFormat=P","Fill=—","Direction=H","UseDPDF=Y")</f>
        <v>0</v>
      </c>
      <c r="U70" s="13">
        <f>_xll.BDH("ALNY US Equity","IS_TOT_CASH_COM_DVD","FQ3 2023","FQ3 2023","Currency=USD","Period=FQ","BEST_FPERIOD_OVERRIDE=FQ","FILING_STATUS=MR","SCALING_FORMAT=MLN","Sort=A","Dates=H","DateFormat=P","Fill=—","Direction=H","UseDPDF=Y")</f>
        <v>0</v>
      </c>
      <c r="V70" s="13">
        <f>_xll.BDH("ALNY US Equity","IS_TOT_CASH_COM_DVD","FQ4 2023","FQ4 2023","Currency=USD","Period=FQ","BEST_FPERIOD_OVERRIDE=FQ","FILING_STATUS=MR","SCALING_FORMAT=MLN","Sort=A","Dates=H","DateFormat=P","Fill=—","Direction=H","UseDPDF=Y")</f>
        <v>0</v>
      </c>
      <c r="W70" s="13">
        <f>_xll.BDH("ALNY US Equity","IS_TOT_CASH_COM_DVD","FQ1 2024","FQ1 2024","Currency=USD","Period=FQ","BEST_FPERIOD_OVERRIDE=FQ","FILING_STATUS=MR","SCALING_FORMAT=MLN","Sort=A","Dates=H","DateFormat=P","Fill=—","Direction=H","UseDPDF=Y")</f>
        <v>0</v>
      </c>
      <c r="X70" s="13">
        <f>_xll.BDH("ALNY US Equity","IS_TOT_CASH_COM_DVD","FQ2 2024","FQ2 2024","Currency=USD","Period=FQ","BEST_FPERIOD_OVERRIDE=FQ","FILING_STATUS=MR","SCALING_FORMAT=MLN","Sort=A","Dates=H","DateFormat=P","Fill=—","Direction=H","UseDPDF=Y")</f>
        <v>0</v>
      </c>
      <c r="Y70" s="13">
        <f>_xll.BDH("ALNY US Equity","IS_TOT_CASH_COM_DVD","FQ3 2024","FQ3 2024","Currency=USD","Period=FQ","BEST_FPERIOD_OVERRIDE=FQ","FILING_STATUS=MR","SCALING_FORMAT=MLN","Sort=A","Dates=H","DateFormat=P","Fill=—","Direction=H","UseDPDF=Y")</f>
        <v>0</v>
      </c>
      <c r="Z70" s="13">
        <f>_xll.BDH("ALNY US Equity","IS_TOT_CASH_COM_DVD","FQ4 2024","FQ4 2024","Currency=USD","Period=FQ","BEST_FPERIOD_OVERRIDE=FQ","FILING_STATUS=MR","SCALING_FORMAT=MLN","Sort=A","Dates=H","DateFormat=P","Fill=—","Direction=H","UseDPDF=Y")</f>
        <v>0</v>
      </c>
    </row>
    <row r="71" spans="1:26" x14ac:dyDescent="0.25">
      <c r="A71" s="10" t="s">
        <v>168</v>
      </c>
      <c r="B71" s="10" t="s">
        <v>169</v>
      </c>
      <c r="C71" s="13" t="str">
        <f>_xll.BDH("ALNY US Equity","IS_DEPR_EXP","FQ1 2019","FQ1 2019","Currency=USD","Period=FQ","BEST_FPERIOD_OVERRIDE=FQ","FILING_STATUS=MR","SCALING_FORMAT=MLN","Sort=A","Dates=H","DateFormat=P","Fill=—","Direction=H","UseDPDF=Y")</f>
        <v>—</v>
      </c>
      <c r="D71" s="13" t="str">
        <f>_xll.BDH("ALNY US Equity","IS_DEPR_EXP","FQ2 2019","FQ2 2019","Currency=USD","Period=FQ","BEST_FPERIOD_OVERRIDE=FQ","FILING_STATUS=MR","SCALING_FORMAT=MLN","Sort=A","Dates=H","DateFormat=P","Fill=—","Direction=H","UseDPDF=Y")</f>
        <v>—</v>
      </c>
      <c r="E71" s="13" t="str">
        <f>_xll.BDH("ALNY US Equity","IS_DEPR_EXP","FQ3 2019","FQ3 2019","Currency=USD","Period=FQ","BEST_FPERIOD_OVERRIDE=FQ","FILING_STATUS=MR","SCALING_FORMAT=MLN","Sort=A","Dates=H","DateFormat=P","Fill=—","Direction=H","UseDPDF=Y")</f>
        <v>—</v>
      </c>
      <c r="F71" s="13" t="str">
        <f>_xll.BDH("ALNY US Equity","IS_DEPR_EXP","FQ4 2019","FQ4 2019","Currency=USD","Period=FQ","BEST_FPERIOD_OVERRIDE=FQ","FILING_STATUS=MR","SCALING_FORMAT=MLN","Sort=A","Dates=H","DateFormat=P","Fill=—","Direction=H","UseDPDF=Y")</f>
        <v>—</v>
      </c>
      <c r="G71" s="13" t="str">
        <f>_xll.BDH("ALNY US Equity","IS_DEPR_EXP","FQ1 2020","FQ1 2020","Currency=USD","Period=FQ","BEST_FPERIOD_OVERRIDE=FQ","FILING_STATUS=MR","SCALING_FORMAT=MLN","Sort=A","Dates=H","DateFormat=P","Fill=—","Direction=H","UseDPDF=Y")</f>
        <v>—</v>
      </c>
      <c r="H71" s="13" t="str">
        <f>_xll.BDH("ALNY US Equity","IS_DEPR_EXP","FQ2 2020","FQ2 2020","Currency=USD","Period=FQ","BEST_FPERIOD_OVERRIDE=FQ","FILING_STATUS=MR","SCALING_FORMAT=MLN","Sort=A","Dates=H","DateFormat=P","Fill=—","Direction=H","UseDPDF=Y")</f>
        <v>—</v>
      </c>
      <c r="I71" s="13" t="str">
        <f>_xll.BDH("ALNY US Equity","IS_DEPR_EXP","FQ3 2020","FQ3 2020","Currency=USD","Period=FQ","BEST_FPERIOD_OVERRIDE=FQ","FILING_STATUS=MR","SCALING_FORMAT=MLN","Sort=A","Dates=H","DateFormat=P","Fill=—","Direction=H","UseDPDF=Y")</f>
        <v>—</v>
      </c>
      <c r="J71" s="13" t="str">
        <f>_xll.BDH("ALNY US Equity","IS_DEPR_EXP","FQ4 2020","FQ4 2020","Currency=USD","Period=FQ","BEST_FPERIOD_OVERRIDE=FQ","FILING_STATUS=MR","SCALING_FORMAT=MLN","Sort=A","Dates=H","DateFormat=P","Fill=—","Direction=H","UseDPDF=Y")</f>
        <v>—</v>
      </c>
      <c r="K71" s="13" t="str">
        <f>_xll.BDH("ALNY US Equity","IS_DEPR_EXP","FQ1 2021","FQ1 2021","Currency=USD","Period=FQ","BEST_FPERIOD_OVERRIDE=FQ","FILING_STATUS=MR","SCALING_FORMAT=MLN","Sort=A","Dates=H","DateFormat=P","Fill=—","Direction=H","UseDPDF=Y")</f>
        <v>—</v>
      </c>
      <c r="L71" s="13" t="str">
        <f>_xll.BDH("ALNY US Equity","IS_DEPR_EXP","FQ2 2021","FQ2 2021","Currency=USD","Period=FQ","BEST_FPERIOD_OVERRIDE=FQ","FILING_STATUS=MR","SCALING_FORMAT=MLN","Sort=A","Dates=H","DateFormat=P","Fill=—","Direction=H","UseDPDF=Y")</f>
        <v>—</v>
      </c>
      <c r="M71" s="13" t="str">
        <f>_xll.BDH("ALNY US Equity","IS_DEPR_EXP","FQ3 2021","FQ3 2021","Currency=USD","Period=FQ","BEST_FPERIOD_OVERRIDE=FQ","FILING_STATUS=MR","SCALING_FORMAT=MLN","Sort=A","Dates=H","DateFormat=P","Fill=—","Direction=H","UseDPDF=Y")</f>
        <v>—</v>
      </c>
      <c r="N71" s="13" t="str">
        <f>_xll.BDH("ALNY US Equity","IS_DEPR_EXP","FQ4 2021","FQ4 2021","Currency=USD","Period=FQ","BEST_FPERIOD_OVERRIDE=FQ","FILING_STATUS=MR","SCALING_FORMAT=MLN","Sort=A","Dates=H","DateFormat=P","Fill=—","Direction=H","UseDPDF=Y")</f>
        <v>—</v>
      </c>
      <c r="O71" s="13" t="str">
        <f>_xll.BDH("ALNY US Equity","IS_DEPR_EXP","FQ1 2022","FQ1 2022","Currency=USD","Period=FQ","BEST_FPERIOD_OVERRIDE=FQ","FILING_STATUS=MR","SCALING_FORMAT=MLN","Sort=A","Dates=H","DateFormat=P","Fill=—","Direction=H","UseDPDF=Y")</f>
        <v>—</v>
      </c>
      <c r="P71" s="13" t="str">
        <f>_xll.BDH("ALNY US Equity","IS_DEPR_EXP","FQ2 2022","FQ2 2022","Currency=USD","Period=FQ","BEST_FPERIOD_OVERRIDE=FQ","FILING_STATUS=MR","SCALING_FORMAT=MLN","Sort=A","Dates=H","DateFormat=P","Fill=—","Direction=H","UseDPDF=Y")</f>
        <v>—</v>
      </c>
      <c r="Q71" s="13" t="str">
        <f>_xll.BDH("ALNY US Equity","IS_DEPR_EXP","FQ3 2022","FQ3 2022","Currency=USD","Period=FQ","BEST_FPERIOD_OVERRIDE=FQ","FILING_STATUS=MR","SCALING_FORMAT=MLN","Sort=A","Dates=H","DateFormat=P","Fill=—","Direction=H","UseDPDF=Y")</f>
        <v>—</v>
      </c>
      <c r="R71" s="13" t="str">
        <f>_xll.BDH("ALNY US Equity","IS_DEPR_EXP","FQ4 2022","FQ4 2022","Currency=USD","Period=FQ","BEST_FPERIOD_OVERRIDE=FQ","FILING_STATUS=MR","SCALING_FORMAT=MLN","Sort=A","Dates=H","DateFormat=P","Fill=—","Direction=H","UseDPDF=Y")</f>
        <v>—</v>
      </c>
      <c r="S71" s="13" t="str">
        <f>_xll.BDH("ALNY US Equity","IS_DEPR_EXP","FQ1 2023","FQ1 2023","Currency=USD","Period=FQ","BEST_FPERIOD_OVERRIDE=FQ","FILING_STATUS=MR","SCALING_FORMAT=MLN","Sort=A","Dates=H","DateFormat=P","Fill=—","Direction=H","UseDPDF=Y")</f>
        <v>—</v>
      </c>
      <c r="T71" s="13">
        <f>_xll.BDH("ALNY US Equity","IS_DEPR_EXP","FQ2 2023","FQ2 2023","Currency=USD","Period=FQ","BEST_FPERIOD_OVERRIDE=FQ","FILING_STATUS=MR","SCALING_FORMAT=MLN","Sort=A","Dates=H","DateFormat=P","Fill=—","Direction=H","UseDPDF=Y")</f>
        <v>13.179</v>
      </c>
      <c r="U71" s="13">
        <f>_xll.BDH("ALNY US Equity","IS_DEPR_EXP","FQ3 2023","FQ3 2023","Currency=USD","Period=FQ","BEST_FPERIOD_OVERRIDE=FQ","FILING_STATUS=MR","SCALING_FORMAT=MLN","Sort=A","Dates=H","DateFormat=P","Fill=—","Direction=H","UseDPDF=Y")</f>
        <v>13.327999999999999</v>
      </c>
      <c r="V71" s="13" t="str">
        <f>_xll.BDH("ALNY US Equity","IS_DEPR_EXP","FQ4 2023","FQ4 2023","Currency=USD","Period=FQ","BEST_FPERIOD_OVERRIDE=FQ","FILING_STATUS=MR","SCALING_FORMAT=MLN","Sort=A","Dates=H","DateFormat=P","Fill=—","Direction=H","UseDPDF=Y")</f>
        <v>—</v>
      </c>
      <c r="W71" s="13" t="str">
        <f>_xll.BDH("ALNY US Equity","IS_DEPR_EXP","FQ1 2024","FQ1 2024","Currency=USD","Period=FQ","BEST_FPERIOD_OVERRIDE=FQ","FILING_STATUS=MR","SCALING_FORMAT=MLN","Sort=A","Dates=H","DateFormat=P","Fill=—","Direction=H","UseDPDF=Y")</f>
        <v>—</v>
      </c>
      <c r="X71" s="13">
        <f>_xll.BDH("ALNY US Equity","IS_DEPR_EXP","FQ2 2024","FQ2 2024","Currency=USD","Period=FQ","BEST_FPERIOD_OVERRIDE=FQ","FILING_STATUS=MR","SCALING_FORMAT=MLN","Sort=A","Dates=H","DateFormat=P","Fill=—","Direction=H","UseDPDF=Y")</f>
        <v>15.003</v>
      </c>
      <c r="Y71" s="13">
        <f>_xll.BDH("ALNY US Equity","IS_DEPR_EXP","FQ3 2024","FQ3 2024","Currency=USD","Period=FQ","BEST_FPERIOD_OVERRIDE=FQ","FILING_STATUS=MR","SCALING_FORMAT=MLN","Sort=A","Dates=H","DateFormat=P","Fill=—","Direction=H","UseDPDF=Y")</f>
        <v>13.981999999999999</v>
      </c>
      <c r="Z71" s="13">
        <f>_xll.BDH("ALNY US Equity","IS_DEPR_EXP","FQ4 2024","FQ4 2024","Currency=USD","Period=FQ","BEST_FPERIOD_OVERRIDE=FQ","FILING_STATUS=MR","SCALING_FORMAT=MLN","Sort=A","Dates=H","DateFormat=P","Fill=—","Direction=H","UseDPDF=Y")</f>
        <v>14.167999999999999</v>
      </c>
    </row>
    <row r="72" spans="1:26" x14ac:dyDescent="0.25">
      <c r="A72" s="10" t="s">
        <v>170</v>
      </c>
      <c r="B72" s="10" t="s">
        <v>171</v>
      </c>
      <c r="C72" s="13">
        <f>_xll.BDH("ALNY US Equity","BS_CURR_RENTAL_EXPENSE","FQ1 2019","FQ1 2019","Currency=USD","Period=FQ","BEST_FPERIOD_OVERRIDE=FQ","FILING_STATUS=MR","SCALING_FORMAT=MLN","Sort=A","Dates=H","DateFormat=P","Fill=—","Direction=H","UseDPDF=Y")</f>
        <v>14.337</v>
      </c>
      <c r="D72" s="13">
        <f>_xll.BDH("ALNY US Equity","BS_CURR_RENTAL_EXPENSE","FQ2 2019","FQ2 2019","Currency=USD","Period=FQ","BEST_FPERIOD_OVERRIDE=FQ","FILING_STATUS=MR","SCALING_FORMAT=MLN","Sort=A","Dates=H","DateFormat=P","Fill=—","Direction=H","UseDPDF=Y")</f>
        <v>13.776999999999999</v>
      </c>
      <c r="E72" s="13">
        <f>_xll.BDH("ALNY US Equity","BS_CURR_RENTAL_EXPENSE","FQ3 2019","FQ3 2019","Currency=USD","Period=FQ","BEST_FPERIOD_OVERRIDE=FQ","FILING_STATUS=MR","SCALING_FORMAT=MLN","Sort=A","Dates=H","DateFormat=P","Fill=—","Direction=H","UseDPDF=Y")</f>
        <v>12.742000000000001</v>
      </c>
      <c r="F72" s="13">
        <f>_xll.BDH("ALNY US Equity","BS_CURR_RENTAL_EXPENSE","FQ4 2019","FQ4 2019","Currency=USD","Period=FQ","BEST_FPERIOD_OVERRIDE=FQ","FILING_STATUS=MR","SCALING_FORMAT=MLN","Sort=A","Dates=H","DateFormat=P","Fill=—","Direction=H","UseDPDF=Y")</f>
        <v>12.965999999999999</v>
      </c>
      <c r="G72" s="13" t="str">
        <f>_xll.BDH("ALNY US Equity","BS_CURR_RENTAL_EXPENSE","FQ1 2020","FQ1 2020","Currency=USD","Period=FQ","BEST_FPERIOD_OVERRIDE=FQ","FILING_STATUS=MR","SCALING_FORMAT=MLN","Sort=A","Dates=H","DateFormat=P","Fill=—","Direction=H","UseDPDF=Y")</f>
        <v>—</v>
      </c>
      <c r="H72" s="13" t="str">
        <f>_xll.BDH("ALNY US Equity","BS_CURR_RENTAL_EXPENSE","FQ2 2020","FQ2 2020","Currency=USD","Period=FQ","BEST_FPERIOD_OVERRIDE=FQ","FILING_STATUS=MR","SCALING_FORMAT=MLN","Sort=A","Dates=H","DateFormat=P","Fill=—","Direction=H","UseDPDF=Y")</f>
        <v>—</v>
      </c>
      <c r="I72" s="13" t="str">
        <f>_xll.BDH("ALNY US Equity","BS_CURR_RENTAL_EXPENSE","FQ3 2020","FQ3 2020","Currency=USD","Period=FQ","BEST_FPERIOD_OVERRIDE=FQ","FILING_STATUS=MR","SCALING_FORMAT=MLN","Sort=A","Dates=H","DateFormat=P","Fill=—","Direction=H","UseDPDF=Y")</f>
        <v>—</v>
      </c>
      <c r="J72" s="13" t="str">
        <f>_xll.BDH("ALNY US Equity","BS_CURR_RENTAL_EXPENSE","FQ4 2020","FQ4 2020","Currency=USD","Period=FQ","BEST_FPERIOD_OVERRIDE=FQ","FILING_STATUS=MR","SCALING_FORMAT=MLN","Sort=A","Dates=H","DateFormat=P","Fill=—","Direction=H","UseDPDF=Y")</f>
        <v>—</v>
      </c>
      <c r="K72" s="13" t="str">
        <f>_xll.BDH("ALNY US Equity","BS_CURR_RENTAL_EXPENSE","FQ1 2021","FQ1 2021","Currency=USD","Period=FQ","BEST_FPERIOD_OVERRIDE=FQ","FILING_STATUS=MR","SCALING_FORMAT=MLN","Sort=A","Dates=H","DateFormat=P","Fill=—","Direction=H","UseDPDF=Y")</f>
        <v>—</v>
      </c>
      <c r="L72" s="13" t="str">
        <f>_xll.BDH("ALNY US Equity","BS_CURR_RENTAL_EXPENSE","FQ2 2021","FQ2 2021","Currency=USD","Period=FQ","BEST_FPERIOD_OVERRIDE=FQ","FILING_STATUS=MR","SCALING_FORMAT=MLN","Sort=A","Dates=H","DateFormat=P","Fill=—","Direction=H","UseDPDF=Y")</f>
        <v>—</v>
      </c>
      <c r="M72" s="13" t="str">
        <f>_xll.BDH("ALNY US Equity","BS_CURR_RENTAL_EXPENSE","FQ3 2021","FQ3 2021","Currency=USD","Period=FQ","BEST_FPERIOD_OVERRIDE=FQ","FILING_STATUS=MR","SCALING_FORMAT=MLN","Sort=A","Dates=H","DateFormat=P","Fill=—","Direction=H","UseDPDF=Y")</f>
        <v>—</v>
      </c>
      <c r="N72" s="13" t="str">
        <f>_xll.BDH("ALNY US Equity","BS_CURR_RENTAL_EXPENSE","FQ4 2021","FQ4 2021","Currency=USD","Period=FQ","BEST_FPERIOD_OVERRIDE=FQ","FILING_STATUS=MR","SCALING_FORMAT=MLN","Sort=A","Dates=H","DateFormat=P","Fill=—","Direction=H","UseDPDF=Y")</f>
        <v>—</v>
      </c>
      <c r="O72" s="13" t="str">
        <f>_xll.BDH("ALNY US Equity","BS_CURR_RENTAL_EXPENSE","FQ1 2022","FQ1 2022","Currency=USD","Period=FQ","BEST_FPERIOD_OVERRIDE=FQ","FILING_STATUS=MR","SCALING_FORMAT=MLN","Sort=A","Dates=H","DateFormat=P","Fill=—","Direction=H","UseDPDF=Y")</f>
        <v>—</v>
      </c>
      <c r="P72" s="13" t="str">
        <f>_xll.BDH("ALNY US Equity","BS_CURR_RENTAL_EXPENSE","FQ2 2022","FQ2 2022","Currency=USD","Period=FQ","BEST_FPERIOD_OVERRIDE=FQ","FILING_STATUS=MR","SCALING_FORMAT=MLN","Sort=A","Dates=H","DateFormat=P","Fill=—","Direction=H","UseDPDF=Y")</f>
        <v>—</v>
      </c>
      <c r="Q72" s="13" t="str">
        <f>_xll.BDH("ALNY US Equity","BS_CURR_RENTAL_EXPENSE","FQ3 2022","FQ3 2022","Currency=USD","Period=FQ","BEST_FPERIOD_OVERRIDE=FQ","FILING_STATUS=MR","SCALING_FORMAT=MLN","Sort=A","Dates=H","DateFormat=P","Fill=—","Direction=H","UseDPDF=Y")</f>
        <v>—</v>
      </c>
      <c r="R72" s="13" t="str">
        <f>_xll.BDH("ALNY US Equity","BS_CURR_RENTAL_EXPENSE","FQ4 2022","FQ4 2022","Currency=USD","Period=FQ","BEST_FPERIOD_OVERRIDE=FQ","FILING_STATUS=MR","SCALING_FORMAT=MLN","Sort=A","Dates=H","DateFormat=P","Fill=—","Direction=H","UseDPDF=Y")</f>
        <v>—</v>
      </c>
      <c r="S72" s="13" t="str">
        <f>_xll.BDH("ALNY US Equity","BS_CURR_RENTAL_EXPENSE","FQ1 2023","FQ1 2023","Currency=USD","Period=FQ","BEST_FPERIOD_OVERRIDE=FQ","FILING_STATUS=MR","SCALING_FORMAT=MLN","Sort=A","Dates=H","DateFormat=P","Fill=—","Direction=H","UseDPDF=Y")</f>
        <v>—</v>
      </c>
      <c r="T72" s="13" t="str">
        <f>_xll.BDH("ALNY US Equity","BS_CURR_RENTAL_EXPENSE","FQ2 2023","FQ2 2023","Currency=USD","Period=FQ","BEST_FPERIOD_OVERRIDE=FQ","FILING_STATUS=MR","SCALING_FORMAT=MLN","Sort=A","Dates=H","DateFormat=P","Fill=—","Direction=H","UseDPDF=Y")</f>
        <v>—</v>
      </c>
      <c r="U72" s="13" t="str">
        <f>_xll.BDH("ALNY US Equity","BS_CURR_RENTAL_EXPENSE","FQ3 2023","FQ3 2023","Currency=USD","Period=FQ","BEST_FPERIOD_OVERRIDE=FQ","FILING_STATUS=MR","SCALING_FORMAT=MLN","Sort=A","Dates=H","DateFormat=P","Fill=—","Direction=H","UseDPDF=Y")</f>
        <v>—</v>
      </c>
      <c r="V72" s="13" t="str">
        <f>_xll.BDH("ALNY US Equity","BS_CURR_RENTAL_EXPENSE","FQ4 2023","FQ4 2023","Currency=USD","Period=FQ","BEST_FPERIOD_OVERRIDE=FQ","FILING_STATUS=MR","SCALING_FORMAT=MLN","Sort=A","Dates=H","DateFormat=P","Fill=—","Direction=H","UseDPDF=Y")</f>
        <v>—</v>
      </c>
      <c r="W72" s="13" t="str">
        <f>_xll.BDH("ALNY US Equity","BS_CURR_RENTAL_EXPENSE","FQ1 2024","FQ1 2024","Currency=USD","Period=FQ","BEST_FPERIOD_OVERRIDE=FQ","FILING_STATUS=MR","SCALING_FORMAT=MLN","Sort=A","Dates=H","DateFormat=P","Fill=—","Direction=H","UseDPDF=Y")</f>
        <v>—</v>
      </c>
      <c r="X72" s="13" t="str">
        <f>_xll.BDH("ALNY US Equity","BS_CURR_RENTAL_EXPENSE","FQ2 2024","FQ2 2024","Currency=USD","Period=FQ","BEST_FPERIOD_OVERRIDE=FQ","FILING_STATUS=MR","SCALING_FORMAT=MLN","Sort=A","Dates=H","DateFormat=P","Fill=—","Direction=H","UseDPDF=Y")</f>
        <v>—</v>
      </c>
      <c r="Y72" s="13" t="str">
        <f>_xll.BDH("ALNY US Equity","BS_CURR_RENTAL_EXPENSE","FQ3 2024","FQ3 2024","Currency=USD","Period=FQ","BEST_FPERIOD_OVERRIDE=FQ","FILING_STATUS=MR","SCALING_FORMAT=MLN","Sort=A","Dates=H","DateFormat=P","Fill=—","Direction=H","UseDPDF=Y")</f>
        <v>—</v>
      </c>
      <c r="Z72" s="13" t="str">
        <f>_xll.BDH("ALNY US Equity","BS_CURR_RENTAL_EXPENSE","FQ4 2024","FQ4 2024","Currency=USD","Period=FQ","BEST_FPERIOD_OVERRIDE=FQ","FILING_STATUS=MR","SCALING_FORMAT=MLN","Sort=A","Dates=H","DateFormat=P","Fill=—","Direction=H","UseDPDF=Y")</f>
        <v>—</v>
      </c>
    </row>
    <row r="73" spans="1:26" x14ac:dyDescent="0.25">
      <c r="A73" s="7" t="s">
        <v>172</v>
      </c>
      <c r="B73" s="7"/>
      <c r="C73" s="7" t="s">
        <v>3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5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26" width="11.855468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25">
      <c r="A2" s="8" t="s">
        <v>173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</row>
    <row r="5" spans="1:26" x14ac:dyDescent="0.25">
      <c r="A5" s="9" t="s">
        <v>30</v>
      </c>
      <c r="B5" s="9"/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38</v>
      </c>
      <c r="K5" s="5" t="s">
        <v>39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  <c r="R5" s="5" t="s">
        <v>46</v>
      </c>
      <c r="S5" s="5" t="s">
        <v>47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52</v>
      </c>
      <c r="Y5" s="5" t="s">
        <v>53</v>
      </c>
      <c r="Z5" s="5" t="s">
        <v>54</v>
      </c>
    </row>
    <row r="6" spans="1:26" x14ac:dyDescent="0.25">
      <c r="A6" s="6" t="s">
        <v>174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0" t="s">
        <v>175</v>
      </c>
      <c r="B7" s="10" t="s">
        <v>176</v>
      </c>
      <c r="C7" s="13">
        <f>_xll.BDH("ALNY US Equity","CASH_CASH_EQTY_STI_DETAILED","FQ1 2019","FQ1 2019","Currency=USD","Period=FQ","BEST_FPERIOD_OVERRIDE=FQ","FILING_STATUS=MR","SCALING_FORMAT=MLN","Sort=A","Dates=H","DateFormat=P","Fill=—","Direction=H","UseDPDF=Y")</f>
        <v>1244.537</v>
      </c>
      <c r="D7" s="13">
        <f>_xll.BDH("ALNY US Equity","CASH_CASH_EQTY_STI_DETAILED","FQ2 2019","FQ2 2019","Currency=USD","Period=FQ","BEST_FPERIOD_OVERRIDE=FQ","FILING_STATUS=MR","SCALING_FORMAT=MLN","Sort=A","Dates=H","DateFormat=P","Fill=—","Direction=H","UseDPDF=Y")</f>
        <v>1926.8309999999999</v>
      </c>
      <c r="E7" s="13">
        <f>_xll.BDH("ALNY US Equity","CASH_CASH_EQTY_STI_DETAILED","FQ3 2019","FQ3 2019","Currency=USD","Period=FQ","BEST_FPERIOD_OVERRIDE=FQ","FILING_STATUS=MR","SCALING_FORMAT=MLN","Sort=A","Dates=H","DateFormat=P","Fill=—","Direction=H","UseDPDF=Y")</f>
        <v>1721.058</v>
      </c>
      <c r="F7" s="13">
        <f>_xll.BDH("ALNY US Equity","CASH_CASH_EQTY_STI_DETAILED","FQ4 2019","FQ4 2019","Currency=USD","Period=FQ","BEST_FPERIOD_OVERRIDE=FQ","FILING_STATUS=MR","SCALING_FORMAT=MLN","Sort=A","Dates=H","DateFormat=P","Fill=—","Direction=H","UseDPDF=Y")</f>
        <v>1536.162</v>
      </c>
      <c r="G7" s="13">
        <f>_xll.BDH("ALNY US Equity","CASH_CASH_EQTY_STI_DETAILED","FQ1 2020","FQ1 2020","Currency=USD","Period=FQ","BEST_FPERIOD_OVERRIDE=FQ","FILING_STATUS=MR","SCALING_FORMAT=MLN","Sort=A","Dates=H","DateFormat=P","Fill=—","Direction=H","UseDPDF=Y")</f>
        <v>1342.203</v>
      </c>
      <c r="H7" s="13">
        <f>_xll.BDH("ALNY US Equity","CASH_CASH_EQTY_STI_DETAILED","FQ2 2020","FQ2 2020","Currency=USD","Period=FQ","BEST_FPERIOD_OVERRIDE=FQ","FILING_STATUS=MR","SCALING_FORMAT=MLN","Sort=A","Dates=H","DateFormat=P","Fill=—","Direction=H","UseDPDF=Y")</f>
        <v>1925.5640000000001</v>
      </c>
      <c r="I7" s="13">
        <f>_xll.BDH("ALNY US Equity","CASH_CASH_EQTY_STI_DETAILED","FQ3 2020","FQ3 2020","Currency=USD","Period=FQ","BEST_FPERIOD_OVERRIDE=FQ","FILING_STATUS=MR","SCALING_FORMAT=MLN","Sort=A","Dates=H","DateFormat=P","Fill=—","Direction=H","UseDPDF=Y")</f>
        <v>1833.876</v>
      </c>
      <c r="J7" s="13">
        <f>_xll.BDH("ALNY US Equity","CASH_CASH_EQTY_STI_DETAILED","FQ4 2020","FQ4 2020","Currency=USD","Period=FQ","BEST_FPERIOD_OVERRIDE=FQ","FILING_STATUS=MR","SCALING_FORMAT=MLN","Sort=A","Dates=H","DateFormat=P","Fill=—","Direction=H","UseDPDF=Y")</f>
        <v>1874.395</v>
      </c>
      <c r="K7" s="13">
        <f>_xll.BDH("ALNY US Equity","CASH_CASH_EQTY_STI_DETAILED","FQ1 2021","FQ1 2021","Currency=USD","Period=FQ","BEST_FPERIOD_OVERRIDE=FQ","FILING_STATUS=MR","SCALING_FORMAT=MLN","Sort=A","Dates=H","DateFormat=P","Fill=—","Direction=H","UseDPDF=Y")</f>
        <v>1709.537</v>
      </c>
      <c r="L7" s="13">
        <f>_xll.BDH("ALNY US Equity","CASH_CASH_EQTY_STI_DETAILED","FQ2 2021","FQ2 2021","Currency=USD","Period=FQ","BEST_FPERIOD_OVERRIDE=FQ","FILING_STATUS=MR","SCALING_FORMAT=MLN","Sort=A","Dates=H","DateFormat=P","Fill=—","Direction=H","UseDPDF=Y")</f>
        <v>1900.0820000000001</v>
      </c>
      <c r="M7" s="13">
        <f>_xll.BDH("ALNY US Equity","CASH_CASH_EQTY_STI_DETAILED","FQ3 2021","FQ3 2021","Currency=USD","Period=FQ","BEST_FPERIOD_OVERRIDE=FQ","FILING_STATUS=MR","SCALING_FORMAT=MLN","Sort=A","Dates=H","DateFormat=P","Fill=—","Direction=H","UseDPDF=Y")</f>
        <v>2327.8649999999998</v>
      </c>
      <c r="N7" s="13">
        <f>_xll.BDH("ALNY US Equity","CASH_CASH_EQTY_STI_DETAILED","FQ4 2021","FQ4 2021","Currency=USD","Period=FQ","BEST_FPERIOD_OVERRIDE=FQ","FILING_STATUS=MR","SCALING_FORMAT=MLN","Sort=A","Dates=H","DateFormat=P","Fill=—","Direction=H","UseDPDF=Y")</f>
        <v>2435.5639999999999</v>
      </c>
      <c r="O7" s="13">
        <f>_xll.BDH("ALNY US Equity","CASH_CASH_EQTY_STI_DETAILED","FQ1 2022","FQ1 2022","Currency=USD","Period=FQ","BEST_FPERIOD_OVERRIDE=FQ","FILING_STATUS=MR","SCALING_FORMAT=MLN","Sort=A","Dates=H","DateFormat=P","Fill=—","Direction=H","UseDPDF=Y")</f>
        <v>2239.5630000000001</v>
      </c>
      <c r="P7" s="13">
        <f>_xll.BDH("ALNY US Equity","CASH_CASH_EQTY_STI_DETAILED","FQ2 2022","FQ2 2022","Currency=USD","Period=FQ","BEST_FPERIOD_OVERRIDE=FQ","FILING_STATUS=MR","SCALING_FORMAT=MLN","Sort=A","Dates=H","DateFormat=P","Fill=—","Direction=H","UseDPDF=Y")</f>
        <v>2110.6129999999998</v>
      </c>
      <c r="Q7" s="13">
        <f>_xll.BDH("ALNY US Equity","CASH_CASH_EQTY_STI_DETAILED","FQ3 2022","FQ3 2022","Currency=USD","Period=FQ","BEST_FPERIOD_OVERRIDE=FQ","FILING_STATUS=MR","SCALING_FORMAT=MLN","Sort=A","Dates=H","DateFormat=P","Fill=—","Direction=H","UseDPDF=Y")</f>
        <v>2265.3290000000002</v>
      </c>
      <c r="R7" s="13">
        <f>_xll.BDH("ALNY US Equity","CASH_CASH_EQTY_STI_DETAILED","FQ4 2022","FQ4 2022","Currency=USD","Period=FQ","BEST_FPERIOD_OVERRIDE=FQ","FILING_STATUS=MR","SCALING_FORMAT=MLN","Sort=A","Dates=H","DateFormat=P","Fill=—","Direction=H","UseDPDF=Y")</f>
        <v>2192.4059999999999</v>
      </c>
      <c r="S7" s="13">
        <f>_xll.BDH("ALNY US Equity","CASH_CASH_EQTY_STI_DETAILED","FQ1 2023","FQ1 2023","Currency=USD","Period=FQ","BEST_FPERIOD_OVERRIDE=FQ","FILING_STATUS=MR","SCALING_FORMAT=MLN","Sort=A","Dates=H","DateFormat=P","Fill=—","Direction=H","UseDPDF=Y")</f>
        <v>2070.6750000000002</v>
      </c>
      <c r="T7" s="13">
        <f>_xll.BDH("ALNY US Equity","CASH_CASH_EQTY_STI_DETAILED","FQ2 2023","FQ2 2023","Currency=USD","Period=FQ","BEST_FPERIOD_OVERRIDE=FQ","FILING_STATUS=MR","SCALING_FORMAT=MLN","Sort=A","Dates=H","DateFormat=P","Fill=—","Direction=H","UseDPDF=Y")</f>
        <v>2057.5070000000001</v>
      </c>
      <c r="U7" s="13">
        <f>_xll.BDH("ALNY US Equity","CASH_CASH_EQTY_STI_DETAILED","FQ3 2023","FQ3 2023","Currency=USD","Period=FQ","BEST_FPERIOD_OVERRIDE=FQ","FILING_STATUS=MR","SCALING_FORMAT=MLN","Sort=A","Dates=H","DateFormat=P","Fill=—","Direction=H","UseDPDF=Y")</f>
        <v>2406.2779999999998</v>
      </c>
      <c r="V7" s="13">
        <f>_xll.BDH("ALNY US Equity","CASH_CASH_EQTY_STI_DETAILED","FQ4 2023","FQ4 2023","Currency=USD","Period=FQ","BEST_FPERIOD_OVERRIDE=FQ","FILING_STATUS=MR","SCALING_FORMAT=MLN","Sort=A","Dates=H","DateFormat=P","Fill=—","Direction=H","UseDPDF=Y")</f>
        <v>2439.3820000000001</v>
      </c>
      <c r="W7" s="13">
        <f>_xll.BDH("ALNY US Equity","CASH_CASH_EQTY_STI_DETAILED","FQ1 2024","FQ1 2024","Currency=USD","Period=FQ","BEST_FPERIOD_OVERRIDE=FQ","FILING_STATUS=MR","SCALING_FORMAT=MLN","Sort=A","Dates=H","DateFormat=P","Fill=—","Direction=H","UseDPDF=Y")</f>
        <v>2371.2820000000002</v>
      </c>
      <c r="X7" s="13">
        <f>_xll.BDH("ALNY US Equity","CASH_CASH_EQTY_STI_DETAILED","FQ2 2024","FQ2 2024","Currency=USD","Period=FQ","BEST_FPERIOD_OVERRIDE=FQ","FILING_STATUS=MR","SCALING_FORMAT=MLN","Sort=A","Dates=H","DateFormat=P","Fill=—","Direction=H","UseDPDF=Y")</f>
        <v>2624.6489999999999</v>
      </c>
      <c r="Y7" s="13">
        <f>_xll.BDH("ALNY US Equity","CASH_CASH_EQTY_STI_DETAILED","FQ3 2024","FQ3 2024","Currency=USD","Period=FQ","BEST_FPERIOD_OVERRIDE=FQ","FILING_STATUS=MR","SCALING_FORMAT=MLN","Sort=A","Dates=H","DateFormat=P","Fill=—","Direction=H","UseDPDF=Y")</f>
        <v>2780.2350000000001</v>
      </c>
      <c r="Z7" s="13">
        <f>_xll.BDH("ALNY US Equity","CASH_CASH_EQTY_STI_DETAILED","FQ4 2024","FQ4 2024","Currency=USD","Period=FQ","BEST_FPERIOD_OVERRIDE=FQ","FILING_STATUS=MR","SCALING_FORMAT=MLN","Sort=A","Dates=H","DateFormat=P","Fill=—","Direction=H","UseDPDF=Y")</f>
        <v>2694.5039999999999</v>
      </c>
    </row>
    <row r="8" spans="1:26" x14ac:dyDescent="0.25">
      <c r="A8" s="10" t="s">
        <v>177</v>
      </c>
      <c r="B8" s="10" t="s">
        <v>178</v>
      </c>
      <c r="C8" s="13">
        <f>_xll.BDH("ALNY US Equity","BS_CASH_NEAR_CASH_ITEM","FQ1 2019","FQ1 2019","Currency=USD","Period=FQ","BEST_FPERIOD_OVERRIDE=FQ","FILING_STATUS=MR","SCALING_FORMAT=MLN","Sort=A","Dates=H","DateFormat=P","Fill=—","Direction=H","UseDPDF=Y")</f>
        <v>724.95899999999995</v>
      </c>
      <c r="D8" s="13">
        <f>_xll.BDH("ALNY US Equity","BS_CASH_NEAR_CASH_ITEM","FQ2 2019","FQ2 2019","Currency=USD","Period=FQ","BEST_FPERIOD_OVERRIDE=FQ","FILING_STATUS=MR","SCALING_FORMAT=MLN","Sort=A","Dates=H","DateFormat=P","Fill=—","Direction=H","UseDPDF=Y")</f>
        <v>1136.289</v>
      </c>
      <c r="E8" s="13">
        <f>_xll.BDH("ALNY US Equity","BS_CASH_NEAR_CASH_ITEM","FQ3 2019","FQ3 2019","Currency=USD","Period=FQ","BEST_FPERIOD_OVERRIDE=FQ","FILING_STATUS=MR","SCALING_FORMAT=MLN","Sort=A","Dates=H","DateFormat=P","Fill=—","Direction=H","UseDPDF=Y")</f>
        <v>923.30399999999997</v>
      </c>
      <c r="F8" s="13">
        <f>_xll.BDH("ALNY US Equity","BS_CASH_NEAR_CASH_ITEM","FQ4 2019","FQ4 2019","Currency=USD","Period=FQ","BEST_FPERIOD_OVERRIDE=FQ","FILING_STATUS=MR","SCALING_FORMAT=MLN","Sort=A","Dates=H","DateFormat=P","Fill=—","Direction=H","UseDPDF=Y")</f>
        <v>547.178</v>
      </c>
      <c r="G8" s="13">
        <f>_xll.BDH("ALNY US Equity","BS_CASH_NEAR_CASH_ITEM","FQ1 2020","FQ1 2020","Currency=USD","Period=FQ","BEST_FPERIOD_OVERRIDE=FQ","FILING_STATUS=MR","SCALING_FORMAT=MLN","Sort=A","Dates=H","DateFormat=P","Fill=—","Direction=H","UseDPDF=Y")</f>
        <v>467.779</v>
      </c>
      <c r="H8" s="13">
        <f>_xll.BDH("ALNY US Equity","BS_CASH_NEAR_CASH_ITEM","FQ2 2020","FQ2 2020","Currency=USD","Period=FQ","BEST_FPERIOD_OVERRIDE=FQ","FILING_STATUS=MR","SCALING_FORMAT=MLN","Sort=A","Dates=H","DateFormat=P","Fill=—","Direction=H","UseDPDF=Y")</f>
        <v>580.82899999999995</v>
      </c>
      <c r="I8" s="13">
        <f>_xll.BDH("ALNY US Equity","BS_CASH_NEAR_CASH_ITEM","FQ3 2020","FQ3 2020","Currency=USD","Period=FQ","BEST_FPERIOD_OVERRIDE=FQ","FILING_STATUS=MR","SCALING_FORMAT=MLN","Sort=A","Dates=H","DateFormat=P","Fill=—","Direction=H","UseDPDF=Y")</f>
        <v>496.70400000000001</v>
      </c>
      <c r="J8" s="13">
        <f>_xll.BDH("ALNY US Equity","BS_CASH_NEAR_CASH_ITEM","FQ4 2020","FQ4 2020","Currency=USD","Period=FQ","BEST_FPERIOD_OVERRIDE=FQ","FILING_STATUS=MR","SCALING_FORMAT=MLN","Sort=A","Dates=H","DateFormat=P","Fill=—","Direction=H","UseDPDF=Y")</f>
        <v>496.58</v>
      </c>
      <c r="K8" s="13">
        <f>_xll.BDH("ALNY US Equity","BS_CASH_NEAR_CASH_ITEM","FQ1 2021","FQ1 2021","Currency=USD","Period=FQ","BEST_FPERIOD_OVERRIDE=FQ","FILING_STATUS=MR","SCALING_FORMAT=MLN","Sort=A","Dates=H","DateFormat=P","Fill=—","Direction=H","UseDPDF=Y")</f>
        <v>379.54300000000001</v>
      </c>
      <c r="L8" s="13">
        <f>_xll.BDH("ALNY US Equity","BS_CASH_NEAR_CASH_ITEM","FQ2 2021","FQ2 2021","Currency=USD","Period=FQ","BEST_FPERIOD_OVERRIDE=FQ","FILING_STATUS=MR","SCALING_FORMAT=MLN","Sort=A","Dates=H","DateFormat=P","Fill=—","Direction=H","UseDPDF=Y")</f>
        <v>745.76700000000005</v>
      </c>
      <c r="M8" s="13">
        <f>_xll.BDH("ALNY US Equity","BS_CASH_NEAR_CASH_ITEM","FQ3 2021","FQ3 2021","Currency=USD","Period=FQ","BEST_FPERIOD_OVERRIDE=FQ","FILING_STATUS=MR","SCALING_FORMAT=MLN","Sort=A","Dates=H","DateFormat=P","Fill=—","Direction=H","UseDPDF=Y")</f>
        <v>1093.991</v>
      </c>
      <c r="N8" s="13">
        <f>_xll.BDH("ALNY US Equity","BS_CASH_NEAR_CASH_ITEM","FQ4 2021","FQ4 2021","Currency=USD","Period=FQ","BEST_FPERIOD_OVERRIDE=FQ","FILING_STATUS=MR","SCALING_FORMAT=MLN","Sort=A","Dates=H","DateFormat=P","Fill=—","Direction=H","UseDPDF=Y")</f>
        <v>819.97500000000002</v>
      </c>
      <c r="O8" s="13">
        <f>_xll.BDH("ALNY US Equity","BS_CASH_NEAR_CASH_ITEM","FQ1 2022","FQ1 2022","Currency=USD","Period=FQ","BEST_FPERIOD_OVERRIDE=FQ","FILING_STATUS=MR","SCALING_FORMAT=MLN","Sort=A","Dates=H","DateFormat=P","Fill=—","Direction=H","UseDPDF=Y")</f>
        <v>534.08100000000002</v>
      </c>
      <c r="P8" s="13">
        <f>_xll.BDH("ALNY US Equity","BS_CASH_NEAR_CASH_ITEM","FQ2 2022","FQ2 2022","Currency=USD","Period=FQ","BEST_FPERIOD_OVERRIDE=FQ","FILING_STATUS=MR","SCALING_FORMAT=MLN","Sort=A","Dates=H","DateFormat=P","Fill=—","Direction=H","UseDPDF=Y")</f>
        <v>575.55799999999999</v>
      </c>
      <c r="Q8" s="13">
        <f>_xll.BDH("ALNY US Equity","BS_CASH_NEAR_CASH_ITEM","FQ3 2022","FQ3 2022","Currency=USD","Period=FQ","BEST_FPERIOD_OVERRIDE=FQ","FILING_STATUS=MR","SCALING_FORMAT=MLN","Sort=A","Dates=H","DateFormat=P","Fill=—","Direction=H","UseDPDF=Y")</f>
        <v>1073.2280000000001</v>
      </c>
      <c r="R8" s="13">
        <f>_xll.BDH("ALNY US Equity","BS_CASH_NEAR_CASH_ITEM","FQ4 2022","FQ4 2022","Currency=USD","Period=FQ","BEST_FPERIOD_OVERRIDE=FQ","FILING_STATUS=MR","SCALING_FORMAT=MLN","Sort=A","Dates=H","DateFormat=P","Fill=—","Direction=H","UseDPDF=Y")</f>
        <v>866.39400000000001</v>
      </c>
      <c r="S8" s="13">
        <f>_xll.BDH("ALNY US Equity","BS_CASH_NEAR_CASH_ITEM","FQ1 2023","FQ1 2023","Currency=USD","Period=FQ","BEST_FPERIOD_OVERRIDE=FQ","FILING_STATUS=MR","SCALING_FORMAT=MLN","Sort=A","Dates=H","DateFormat=P","Fill=—","Direction=H","UseDPDF=Y")</f>
        <v>672.245</v>
      </c>
      <c r="T8" s="13">
        <f>_xll.BDH("ALNY US Equity","BS_CASH_NEAR_CASH_ITEM","FQ2 2023","FQ2 2023","Currency=USD","Period=FQ","BEST_FPERIOD_OVERRIDE=FQ","FILING_STATUS=MR","SCALING_FORMAT=MLN","Sort=A","Dates=H","DateFormat=P","Fill=—","Direction=H","UseDPDF=Y")</f>
        <v>657.8</v>
      </c>
      <c r="U8" s="13">
        <f>_xll.BDH("ALNY US Equity","BS_CASH_NEAR_CASH_ITEM","FQ3 2023","FQ3 2023","Currency=USD","Period=FQ","BEST_FPERIOD_OVERRIDE=FQ","FILING_STATUS=MR","SCALING_FORMAT=MLN","Sort=A","Dates=H","DateFormat=P","Fill=—","Direction=H","UseDPDF=Y")</f>
        <v>1033.0239999999999</v>
      </c>
      <c r="V8" s="13">
        <f>_xll.BDH("ALNY US Equity","BS_CASH_NEAR_CASH_ITEM","FQ4 2023","FQ4 2023","Currency=USD","Period=FQ","BEST_FPERIOD_OVERRIDE=FQ","FILING_STATUS=MR","SCALING_FORMAT=MLN","Sort=A","Dates=H","DateFormat=P","Fill=—","Direction=H","UseDPDF=Y")</f>
        <v>812.68799999999999</v>
      </c>
      <c r="W8" s="13">
        <f>_xll.BDH("ALNY US Equity","BS_CASH_NEAR_CASH_ITEM","FQ1 2024","FQ1 2024","Currency=USD","Period=FQ","BEST_FPERIOD_OVERRIDE=FQ","FILING_STATUS=MR","SCALING_FORMAT=MLN","Sort=A","Dates=H","DateFormat=P","Fill=—","Direction=H","UseDPDF=Y")</f>
        <v>681.87900000000002</v>
      </c>
      <c r="X8" s="13">
        <f>_xll.BDH("ALNY US Equity","BS_CASH_NEAR_CASH_ITEM","FQ2 2024","FQ2 2024","Currency=USD","Period=FQ","BEST_FPERIOD_OVERRIDE=FQ","FILING_STATUS=MR","SCALING_FORMAT=MLN","Sort=A","Dates=H","DateFormat=P","Fill=—","Direction=H","UseDPDF=Y")</f>
        <v>968.49199999999996</v>
      </c>
      <c r="Y8" s="13">
        <f>_xll.BDH("ALNY US Equity","BS_CASH_NEAR_CASH_ITEM","FQ3 2024","FQ3 2024","Currency=USD","Period=FQ","BEST_FPERIOD_OVERRIDE=FQ","FILING_STATUS=MR","SCALING_FORMAT=MLN","Sort=A","Dates=H","DateFormat=P","Fill=—","Direction=H","UseDPDF=Y")</f>
        <v>1099.92</v>
      </c>
      <c r="Z8" s="13">
        <f>_xll.BDH("ALNY US Equity","BS_CASH_NEAR_CASH_ITEM","FQ4 2024","FQ4 2024","Currency=USD","Period=FQ","BEST_FPERIOD_OVERRIDE=FQ","FILING_STATUS=MR","SCALING_FORMAT=MLN","Sort=A","Dates=H","DateFormat=P","Fill=—","Direction=H","UseDPDF=Y")</f>
        <v>966.428</v>
      </c>
    </row>
    <row r="9" spans="1:26" x14ac:dyDescent="0.25">
      <c r="A9" s="10" t="s">
        <v>179</v>
      </c>
      <c r="B9" s="10" t="s">
        <v>180</v>
      </c>
      <c r="C9" s="13">
        <f>_xll.BDH("ALNY US Equity","BS_MKT_SEC_OTHER_ST_INVEST","FQ1 2019","FQ1 2019","Currency=USD","Period=FQ","BEST_FPERIOD_OVERRIDE=FQ","FILING_STATUS=MR","SCALING_FORMAT=MLN","Sort=A","Dates=H","DateFormat=P","Fill=—","Direction=H","UseDPDF=Y")</f>
        <v>519.57799999999997</v>
      </c>
      <c r="D9" s="13">
        <f>_xll.BDH("ALNY US Equity","BS_MKT_SEC_OTHER_ST_INVEST","FQ2 2019","FQ2 2019","Currency=USD","Period=FQ","BEST_FPERIOD_OVERRIDE=FQ","FILING_STATUS=MR","SCALING_FORMAT=MLN","Sort=A","Dates=H","DateFormat=P","Fill=—","Direction=H","UseDPDF=Y")</f>
        <v>790.54200000000003</v>
      </c>
      <c r="E9" s="13">
        <f>_xll.BDH("ALNY US Equity","BS_MKT_SEC_OTHER_ST_INVEST","FQ3 2019","FQ3 2019","Currency=USD","Period=FQ","BEST_FPERIOD_OVERRIDE=FQ","FILING_STATUS=MR","SCALING_FORMAT=MLN","Sort=A","Dates=H","DateFormat=P","Fill=—","Direction=H","UseDPDF=Y")</f>
        <v>797.75400000000002</v>
      </c>
      <c r="F9" s="13">
        <f>_xll.BDH("ALNY US Equity","BS_MKT_SEC_OTHER_ST_INVEST","FQ4 2019","FQ4 2019","Currency=USD","Period=FQ","BEST_FPERIOD_OVERRIDE=FQ","FILING_STATUS=MR","SCALING_FORMAT=MLN","Sort=A","Dates=H","DateFormat=P","Fill=—","Direction=H","UseDPDF=Y")</f>
        <v>988.98400000000004</v>
      </c>
      <c r="G9" s="13">
        <f>_xll.BDH("ALNY US Equity","BS_MKT_SEC_OTHER_ST_INVEST","FQ1 2020","FQ1 2020","Currency=USD","Period=FQ","BEST_FPERIOD_OVERRIDE=FQ","FILING_STATUS=MR","SCALING_FORMAT=MLN","Sort=A","Dates=H","DateFormat=P","Fill=—","Direction=H","UseDPDF=Y")</f>
        <v>874.42399999999998</v>
      </c>
      <c r="H9" s="13">
        <f>_xll.BDH("ALNY US Equity","BS_MKT_SEC_OTHER_ST_INVEST","FQ2 2020","FQ2 2020","Currency=USD","Period=FQ","BEST_FPERIOD_OVERRIDE=FQ","FILING_STATUS=MR","SCALING_FORMAT=MLN","Sort=A","Dates=H","DateFormat=P","Fill=—","Direction=H","UseDPDF=Y")</f>
        <v>1344.7349999999999</v>
      </c>
      <c r="I9" s="13">
        <f>_xll.BDH("ALNY US Equity","BS_MKT_SEC_OTHER_ST_INVEST","FQ3 2020","FQ3 2020","Currency=USD","Period=FQ","BEST_FPERIOD_OVERRIDE=FQ","FILING_STATUS=MR","SCALING_FORMAT=MLN","Sort=A","Dates=H","DateFormat=P","Fill=—","Direction=H","UseDPDF=Y")</f>
        <v>1337.172</v>
      </c>
      <c r="J9" s="13">
        <f>_xll.BDH("ALNY US Equity","BS_MKT_SEC_OTHER_ST_INVEST","FQ4 2020","FQ4 2020","Currency=USD","Period=FQ","BEST_FPERIOD_OVERRIDE=FQ","FILING_STATUS=MR","SCALING_FORMAT=MLN","Sort=A","Dates=H","DateFormat=P","Fill=—","Direction=H","UseDPDF=Y")</f>
        <v>1377.8150000000001</v>
      </c>
      <c r="K9" s="13">
        <f>_xll.BDH("ALNY US Equity","BS_MKT_SEC_OTHER_ST_INVEST","FQ1 2021","FQ1 2021","Currency=USD","Period=FQ","BEST_FPERIOD_OVERRIDE=FQ","FILING_STATUS=MR","SCALING_FORMAT=MLN","Sort=A","Dates=H","DateFormat=P","Fill=—","Direction=H","UseDPDF=Y")</f>
        <v>1329.9939999999999</v>
      </c>
      <c r="L9" s="13">
        <f>_xll.BDH("ALNY US Equity","BS_MKT_SEC_OTHER_ST_INVEST","FQ2 2021","FQ2 2021","Currency=USD","Period=FQ","BEST_FPERIOD_OVERRIDE=FQ","FILING_STATUS=MR","SCALING_FORMAT=MLN","Sort=A","Dates=H","DateFormat=P","Fill=—","Direction=H","UseDPDF=Y")</f>
        <v>1154.3150000000001</v>
      </c>
      <c r="M9" s="13">
        <f>_xll.BDH("ALNY US Equity","BS_MKT_SEC_OTHER_ST_INVEST","FQ3 2021","FQ3 2021","Currency=USD","Period=FQ","BEST_FPERIOD_OVERRIDE=FQ","FILING_STATUS=MR","SCALING_FORMAT=MLN","Sort=A","Dates=H","DateFormat=P","Fill=—","Direction=H","UseDPDF=Y")</f>
        <v>1233.874</v>
      </c>
      <c r="N9" s="13">
        <f>_xll.BDH("ALNY US Equity","BS_MKT_SEC_OTHER_ST_INVEST","FQ4 2021","FQ4 2021","Currency=USD","Period=FQ","BEST_FPERIOD_OVERRIDE=FQ","FILING_STATUS=MR","SCALING_FORMAT=MLN","Sort=A","Dates=H","DateFormat=P","Fill=—","Direction=H","UseDPDF=Y")</f>
        <v>1615.5889999999999</v>
      </c>
      <c r="O9" s="13">
        <f>_xll.BDH("ALNY US Equity","BS_MKT_SEC_OTHER_ST_INVEST","FQ1 2022","FQ1 2022","Currency=USD","Period=FQ","BEST_FPERIOD_OVERRIDE=FQ","FILING_STATUS=MR","SCALING_FORMAT=MLN","Sort=A","Dates=H","DateFormat=P","Fill=—","Direction=H","UseDPDF=Y")</f>
        <v>1705.482</v>
      </c>
      <c r="P9" s="13">
        <f>_xll.BDH("ALNY US Equity","BS_MKT_SEC_OTHER_ST_INVEST","FQ2 2022","FQ2 2022","Currency=USD","Period=FQ","BEST_FPERIOD_OVERRIDE=FQ","FILING_STATUS=MR","SCALING_FORMAT=MLN","Sort=A","Dates=H","DateFormat=P","Fill=—","Direction=H","UseDPDF=Y")</f>
        <v>1535.0550000000001</v>
      </c>
      <c r="Q9" s="13">
        <f>_xll.BDH("ALNY US Equity","BS_MKT_SEC_OTHER_ST_INVEST","FQ3 2022","FQ3 2022","Currency=USD","Period=FQ","BEST_FPERIOD_OVERRIDE=FQ","FILING_STATUS=MR","SCALING_FORMAT=MLN","Sort=A","Dates=H","DateFormat=P","Fill=—","Direction=H","UseDPDF=Y")</f>
        <v>1192.1010000000001</v>
      </c>
      <c r="R9" s="13">
        <f>_xll.BDH("ALNY US Equity","BS_MKT_SEC_OTHER_ST_INVEST","FQ4 2022","FQ4 2022","Currency=USD","Period=FQ","BEST_FPERIOD_OVERRIDE=FQ","FILING_STATUS=MR","SCALING_FORMAT=MLN","Sort=A","Dates=H","DateFormat=P","Fill=—","Direction=H","UseDPDF=Y")</f>
        <v>1326.0119999999999</v>
      </c>
      <c r="S9" s="13">
        <f>_xll.BDH("ALNY US Equity","BS_MKT_SEC_OTHER_ST_INVEST","FQ1 2023","FQ1 2023","Currency=USD","Period=FQ","BEST_FPERIOD_OVERRIDE=FQ","FILING_STATUS=MR","SCALING_FORMAT=MLN","Sort=A","Dates=H","DateFormat=P","Fill=—","Direction=H","UseDPDF=Y")</f>
        <v>1398.43</v>
      </c>
      <c r="T9" s="13">
        <f>_xll.BDH("ALNY US Equity","BS_MKT_SEC_OTHER_ST_INVEST","FQ2 2023","FQ2 2023","Currency=USD","Period=FQ","BEST_FPERIOD_OVERRIDE=FQ","FILING_STATUS=MR","SCALING_FORMAT=MLN","Sort=A","Dates=H","DateFormat=P","Fill=—","Direction=H","UseDPDF=Y")</f>
        <v>1399.7070000000001</v>
      </c>
      <c r="U9" s="13">
        <f>_xll.BDH("ALNY US Equity","BS_MKT_SEC_OTHER_ST_INVEST","FQ3 2023","FQ3 2023","Currency=USD","Period=FQ","BEST_FPERIOD_OVERRIDE=FQ","FILING_STATUS=MR","SCALING_FORMAT=MLN","Sort=A","Dates=H","DateFormat=P","Fill=—","Direction=H","UseDPDF=Y")</f>
        <v>1373.2539999999999</v>
      </c>
      <c r="V9" s="13">
        <f>_xll.BDH("ALNY US Equity","BS_MKT_SEC_OTHER_ST_INVEST","FQ4 2023","FQ4 2023","Currency=USD","Period=FQ","BEST_FPERIOD_OVERRIDE=FQ","FILING_STATUS=MR","SCALING_FORMAT=MLN","Sort=A","Dates=H","DateFormat=P","Fill=—","Direction=H","UseDPDF=Y")</f>
        <v>1626.694</v>
      </c>
      <c r="W9" s="13">
        <f>_xll.BDH("ALNY US Equity","BS_MKT_SEC_OTHER_ST_INVEST","FQ1 2024","FQ1 2024","Currency=USD","Period=FQ","BEST_FPERIOD_OVERRIDE=FQ","FILING_STATUS=MR","SCALING_FORMAT=MLN","Sort=A","Dates=H","DateFormat=P","Fill=—","Direction=H","UseDPDF=Y")</f>
        <v>1689.403</v>
      </c>
      <c r="X9" s="13">
        <f>_xll.BDH("ALNY US Equity","BS_MKT_SEC_OTHER_ST_INVEST","FQ2 2024","FQ2 2024","Currency=USD","Period=FQ","BEST_FPERIOD_OVERRIDE=FQ","FILING_STATUS=MR","SCALING_FORMAT=MLN","Sort=A","Dates=H","DateFormat=P","Fill=—","Direction=H","UseDPDF=Y")</f>
        <v>1656.1569999999999</v>
      </c>
      <c r="Y9" s="13">
        <f>_xll.BDH("ALNY US Equity","BS_MKT_SEC_OTHER_ST_INVEST","FQ3 2024","FQ3 2024","Currency=USD","Period=FQ","BEST_FPERIOD_OVERRIDE=FQ","FILING_STATUS=MR","SCALING_FORMAT=MLN","Sort=A","Dates=H","DateFormat=P","Fill=—","Direction=H","UseDPDF=Y")</f>
        <v>1680.3150000000001</v>
      </c>
      <c r="Z9" s="13">
        <f>_xll.BDH("ALNY US Equity","BS_MKT_SEC_OTHER_ST_INVEST","FQ4 2024","FQ4 2024","Currency=USD","Period=FQ","BEST_FPERIOD_OVERRIDE=FQ","FILING_STATUS=MR","SCALING_FORMAT=MLN","Sort=A","Dates=H","DateFormat=P","Fill=—","Direction=H","UseDPDF=Y")</f>
        <v>1728.076</v>
      </c>
    </row>
    <row r="10" spans="1:26" x14ac:dyDescent="0.25">
      <c r="A10" s="10" t="s">
        <v>181</v>
      </c>
      <c r="B10" s="10" t="s">
        <v>182</v>
      </c>
      <c r="C10" s="13">
        <f>_xll.BDH("ALNY US Equity","BS_ACCT_NOTE_RCV","FQ1 2019","FQ1 2019","Currency=USD","Period=FQ","BEST_FPERIOD_OVERRIDE=FQ","FILING_STATUS=MR","SCALING_FORMAT=MLN","Sort=A","Dates=H","DateFormat=P","Fill=—","Direction=H","UseDPDF=Y")</f>
        <v>33.801000000000002</v>
      </c>
      <c r="D10" s="13">
        <f>_xll.BDH("ALNY US Equity","BS_ACCT_NOTE_RCV","FQ2 2019","FQ2 2019","Currency=USD","Period=FQ","BEST_FPERIOD_OVERRIDE=FQ","FILING_STATUS=MR","SCALING_FORMAT=MLN","Sort=A","Dates=H","DateFormat=P","Fill=—","Direction=H","UseDPDF=Y")</f>
        <v>30.739000000000001</v>
      </c>
      <c r="E10" s="13">
        <f>_xll.BDH("ALNY US Equity","BS_ACCT_NOTE_RCV","FQ3 2019","FQ3 2019","Currency=USD","Period=FQ","BEST_FPERIOD_OVERRIDE=FQ","FILING_STATUS=MR","SCALING_FORMAT=MLN","Sort=A","Dates=H","DateFormat=P","Fill=—","Direction=H","UseDPDF=Y")</f>
        <v>48.109000000000002</v>
      </c>
      <c r="F10" s="13">
        <f>_xll.BDH("ALNY US Equity","BS_ACCT_NOTE_RCV","FQ4 2019","FQ4 2019","Currency=USD","Period=FQ","BEST_FPERIOD_OVERRIDE=FQ","FILING_STATUS=MR","SCALING_FORMAT=MLN","Sort=A","Dates=H","DateFormat=P","Fill=—","Direction=H","UseDPDF=Y")</f>
        <v>43.011000000000003</v>
      </c>
      <c r="G10" s="13">
        <f>_xll.BDH("ALNY US Equity","BS_ACCT_NOTE_RCV","FQ1 2020","FQ1 2020","Currency=USD","Period=FQ","BEST_FPERIOD_OVERRIDE=FQ","FILING_STATUS=MR","SCALING_FORMAT=MLN","Sort=A","Dates=H","DateFormat=P","Fill=—","Direction=H","UseDPDF=Y")</f>
        <v>75.572000000000003</v>
      </c>
      <c r="H10" s="13">
        <f>_xll.BDH("ALNY US Equity","BS_ACCT_NOTE_RCV","FQ2 2020","FQ2 2020","Currency=USD","Period=FQ","BEST_FPERIOD_OVERRIDE=FQ","FILING_STATUS=MR","SCALING_FORMAT=MLN","Sort=A","Dates=H","DateFormat=P","Fill=—","Direction=H","UseDPDF=Y")</f>
        <v>69.114999999999995</v>
      </c>
      <c r="I10" s="13">
        <f>_xll.BDH("ALNY US Equity","BS_ACCT_NOTE_RCV","FQ3 2020","FQ3 2020","Currency=USD","Period=FQ","BEST_FPERIOD_OVERRIDE=FQ","FILING_STATUS=MR","SCALING_FORMAT=MLN","Sort=A","Dates=H","DateFormat=P","Fill=—","Direction=H","UseDPDF=Y")</f>
        <v>79.117999999999995</v>
      </c>
      <c r="J10" s="13">
        <f>_xll.BDH("ALNY US Equity","BS_ACCT_NOTE_RCV","FQ4 2020","FQ4 2020","Currency=USD","Period=FQ","BEST_FPERIOD_OVERRIDE=FQ","FILING_STATUS=MR","SCALING_FORMAT=MLN","Sort=A","Dates=H","DateFormat=P","Fill=—","Direction=H","UseDPDF=Y")</f>
        <v>102.413</v>
      </c>
      <c r="K10" s="13">
        <f>_xll.BDH("ALNY US Equity","BS_ACCT_NOTE_RCV","FQ1 2021","FQ1 2021","Currency=USD","Period=FQ","BEST_FPERIOD_OVERRIDE=FQ","FILING_STATUS=MR","SCALING_FORMAT=MLN","Sort=A","Dates=H","DateFormat=P","Fill=—","Direction=H","UseDPDF=Y")</f>
        <v>110.626</v>
      </c>
      <c r="L10" s="13">
        <f>_xll.BDH("ALNY US Equity","BS_ACCT_NOTE_RCV","FQ2 2021","FQ2 2021","Currency=USD","Period=FQ","BEST_FPERIOD_OVERRIDE=FQ","FILING_STATUS=MR","SCALING_FORMAT=MLN","Sort=A","Dates=H","DateFormat=P","Fill=—","Direction=H","UseDPDF=Y")</f>
        <v>146.58699999999999</v>
      </c>
      <c r="M10" s="13">
        <f>_xll.BDH("ALNY US Equity","BS_ACCT_NOTE_RCV","FQ3 2021","FQ3 2021","Currency=USD","Period=FQ","BEST_FPERIOD_OVERRIDE=FQ","FILING_STATUS=MR","SCALING_FORMAT=MLN","Sort=A","Dates=H","DateFormat=P","Fill=—","Direction=H","UseDPDF=Y")</f>
        <v>141.06399999999999</v>
      </c>
      <c r="N10" s="13">
        <f>_xll.BDH("ALNY US Equity","BS_ACCT_NOTE_RCV","FQ4 2021","FQ4 2021","Currency=USD","Period=FQ","BEST_FPERIOD_OVERRIDE=FQ","FILING_STATUS=MR","SCALING_FORMAT=MLN","Sort=A","Dates=H","DateFormat=P","Fill=—","Direction=H","UseDPDF=Y")</f>
        <v>198.571</v>
      </c>
      <c r="O10" s="13">
        <f>_xll.BDH("ALNY US Equity","BS_ACCT_NOTE_RCV","FQ1 2022","FQ1 2022","Currency=USD","Period=FQ","BEST_FPERIOD_OVERRIDE=FQ","FILING_STATUS=MR","SCALING_FORMAT=MLN","Sort=A","Dates=H","DateFormat=P","Fill=—","Direction=H","UseDPDF=Y")</f>
        <v>156.53299999999999</v>
      </c>
      <c r="P10" s="13">
        <f>_xll.BDH("ALNY US Equity","BS_ACCT_NOTE_RCV","FQ2 2022","FQ2 2022","Currency=USD","Period=FQ","BEST_FPERIOD_OVERRIDE=FQ","FILING_STATUS=MR","SCALING_FORMAT=MLN","Sort=A","Dates=H","DateFormat=P","Fill=—","Direction=H","UseDPDF=Y")</f>
        <v>142.27099999999999</v>
      </c>
      <c r="Q10" s="13">
        <f>_xll.BDH("ALNY US Equity","BS_ACCT_NOTE_RCV","FQ3 2022","FQ3 2022","Currency=USD","Period=FQ","BEST_FPERIOD_OVERRIDE=FQ","FILING_STATUS=MR","SCALING_FORMAT=MLN","Sort=A","Dates=H","DateFormat=P","Fill=—","Direction=H","UseDPDF=Y")</f>
        <v>184.51300000000001</v>
      </c>
      <c r="R10" s="13">
        <f>_xll.BDH("ALNY US Equity","BS_ACCT_NOTE_RCV","FQ4 2022","FQ4 2022","Currency=USD","Period=FQ","BEST_FPERIOD_OVERRIDE=FQ","FILING_STATUS=MR","SCALING_FORMAT=MLN","Sort=A","Dates=H","DateFormat=P","Fill=—","Direction=H","UseDPDF=Y")</f>
        <v>237.96299999999999</v>
      </c>
      <c r="S10" s="13">
        <f>_xll.BDH("ALNY US Equity","BS_ACCT_NOTE_RCV","FQ1 2023","FQ1 2023","Currency=USD","Period=FQ","BEST_FPERIOD_OVERRIDE=FQ","FILING_STATUS=MR","SCALING_FORMAT=MLN","Sort=A","Dates=H","DateFormat=P","Fill=—","Direction=H","UseDPDF=Y")</f>
        <v>219.434</v>
      </c>
      <c r="T10" s="13">
        <f>_xll.BDH("ALNY US Equity","BS_ACCT_NOTE_RCV","FQ2 2023","FQ2 2023","Currency=USD","Period=FQ","BEST_FPERIOD_OVERRIDE=FQ","FILING_STATUS=MR","SCALING_FORMAT=MLN","Sort=A","Dates=H","DateFormat=P","Fill=—","Direction=H","UseDPDF=Y")</f>
        <v>220.63499999999999</v>
      </c>
      <c r="U10" s="13">
        <f>_xll.BDH("ALNY US Equity","BS_ACCT_NOTE_RCV","FQ3 2023","FQ3 2023","Currency=USD","Period=FQ","BEST_FPERIOD_OVERRIDE=FQ","FILING_STATUS=MR","SCALING_FORMAT=MLN","Sort=A","Dates=H","DateFormat=P","Fill=—","Direction=H","UseDPDF=Y")</f>
        <v>325.44499999999999</v>
      </c>
      <c r="V10" s="13">
        <f>_xll.BDH("ALNY US Equity","BS_ACCT_NOTE_RCV","FQ4 2023","FQ4 2023","Currency=USD","Period=FQ","BEST_FPERIOD_OVERRIDE=FQ","FILING_STATUS=MR","SCALING_FORMAT=MLN","Sort=A","Dates=H","DateFormat=P","Fill=—","Direction=H","UseDPDF=Y")</f>
        <v>327.78699999999998</v>
      </c>
      <c r="W10" s="13">
        <f>_xll.BDH("ALNY US Equity","BS_ACCT_NOTE_RCV","FQ1 2024","FQ1 2024","Currency=USD","Period=FQ","BEST_FPERIOD_OVERRIDE=FQ","FILING_STATUS=MR","SCALING_FORMAT=MLN","Sort=A","Dates=H","DateFormat=P","Fill=—","Direction=H","UseDPDF=Y")</f>
        <v>321.37700000000001</v>
      </c>
      <c r="X10" s="13">
        <f>_xll.BDH("ALNY US Equity","BS_ACCT_NOTE_RCV","FQ2 2024","FQ2 2024","Currency=USD","Period=FQ","BEST_FPERIOD_OVERRIDE=FQ","FILING_STATUS=MR","SCALING_FORMAT=MLN","Sort=A","Dates=H","DateFormat=P","Fill=—","Direction=H","UseDPDF=Y")</f>
        <v>309.48099999999999</v>
      </c>
      <c r="Y10" s="13">
        <f>_xll.BDH("ALNY US Equity","BS_ACCT_NOTE_RCV","FQ3 2024","FQ3 2024","Currency=USD","Period=FQ","BEST_FPERIOD_OVERRIDE=FQ","FILING_STATUS=MR","SCALING_FORMAT=MLN","Sort=A","Dates=H","DateFormat=P","Fill=—","Direction=H","UseDPDF=Y")</f>
        <v>353.85199999999998</v>
      </c>
      <c r="Z10" s="13">
        <f>_xll.BDH("ALNY US Equity","BS_ACCT_NOTE_RCV","FQ4 2024","FQ4 2024","Currency=USD","Period=FQ","BEST_FPERIOD_OVERRIDE=FQ","FILING_STATUS=MR","SCALING_FORMAT=MLN","Sort=A","Dates=H","DateFormat=P","Fill=—","Direction=H","UseDPDF=Y")</f>
        <v>405.30799999999999</v>
      </c>
    </row>
    <row r="11" spans="1:26" x14ac:dyDescent="0.25">
      <c r="A11" s="10" t="s">
        <v>183</v>
      </c>
      <c r="B11" s="10" t="s">
        <v>184</v>
      </c>
      <c r="C11" s="13">
        <f>_xll.BDH("ALNY US Equity","BS_ACCTS_REC_EXCL_NOTES_REC","FQ1 2019","FQ1 2019","Currency=USD","Period=FQ","BEST_FPERIOD_OVERRIDE=FQ","FILING_STATUS=MR","SCALING_FORMAT=MLN","Sort=A","Dates=H","DateFormat=P","Fill=—","Direction=H","UseDPDF=Y")</f>
        <v>33.801000000000002</v>
      </c>
      <c r="D11" s="13">
        <f>_xll.BDH("ALNY US Equity","BS_ACCTS_REC_EXCL_NOTES_REC","FQ2 2019","FQ2 2019","Currency=USD","Period=FQ","BEST_FPERIOD_OVERRIDE=FQ","FILING_STATUS=MR","SCALING_FORMAT=MLN","Sort=A","Dates=H","DateFormat=P","Fill=—","Direction=H","UseDPDF=Y")</f>
        <v>30.739000000000001</v>
      </c>
      <c r="E11" s="13">
        <f>_xll.BDH("ALNY US Equity","BS_ACCTS_REC_EXCL_NOTES_REC","FQ3 2019","FQ3 2019","Currency=USD","Period=FQ","BEST_FPERIOD_OVERRIDE=FQ","FILING_STATUS=MR","SCALING_FORMAT=MLN","Sort=A","Dates=H","DateFormat=P","Fill=—","Direction=H","UseDPDF=Y")</f>
        <v>48.109000000000002</v>
      </c>
      <c r="F11" s="13">
        <f>_xll.BDH("ALNY US Equity","BS_ACCTS_REC_EXCL_NOTES_REC","FQ4 2019","FQ4 2019","Currency=USD","Period=FQ","BEST_FPERIOD_OVERRIDE=FQ","FILING_STATUS=MR","SCALING_FORMAT=MLN","Sort=A","Dates=H","DateFormat=P","Fill=—","Direction=H","UseDPDF=Y")</f>
        <v>43.011000000000003</v>
      </c>
      <c r="G11" s="13">
        <f>_xll.BDH("ALNY US Equity","BS_ACCTS_REC_EXCL_NOTES_REC","FQ1 2020","FQ1 2020","Currency=USD","Period=FQ","BEST_FPERIOD_OVERRIDE=FQ","FILING_STATUS=MR","SCALING_FORMAT=MLN","Sort=A","Dates=H","DateFormat=P","Fill=—","Direction=H","UseDPDF=Y")</f>
        <v>75.572000000000003</v>
      </c>
      <c r="H11" s="13">
        <f>_xll.BDH("ALNY US Equity","BS_ACCTS_REC_EXCL_NOTES_REC","FQ2 2020","FQ2 2020","Currency=USD","Period=FQ","BEST_FPERIOD_OVERRIDE=FQ","FILING_STATUS=MR","SCALING_FORMAT=MLN","Sort=A","Dates=H","DateFormat=P","Fill=—","Direction=H","UseDPDF=Y")</f>
        <v>69.114999999999995</v>
      </c>
      <c r="I11" s="13">
        <f>_xll.BDH("ALNY US Equity","BS_ACCTS_REC_EXCL_NOTES_REC","FQ3 2020","FQ3 2020","Currency=USD","Period=FQ","BEST_FPERIOD_OVERRIDE=FQ","FILING_STATUS=MR","SCALING_FORMAT=MLN","Sort=A","Dates=H","DateFormat=P","Fill=—","Direction=H","UseDPDF=Y")</f>
        <v>79.117999999999995</v>
      </c>
      <c r="J11" s="13">
        <f>_xll.BDH("ALNY US Equity","BS_ACCTS_REC_EXCL_NOTES_REC","FQ4 2020","FQ4 2020","Currency=USD","Period=FQ","BEST_FPERIOD_OVERRIDE=FQ","FILING_STATUS=MR","SCALING_FORMAT=MLN","Sort=A","Dates=H","DateFormat=P","Fill=—","Direction=H","UseDPDF=Y")</f>
        <v>102.413</v>
      </c>
      <c r="K11" s="13">
        <f>_xll.BDH("ALNY US Equity","BS_ACCTS_REC_EXCL_NOTES_REC","FQ1 2021","FQ1 2021","Currency=USD","Period=FQ","BEST_FPERIOD_OVERRIDE=FQ","FILING_STATUS=MR","SCALING_FORMAT=MLN","Sort=A","Dates=H","DateFormat=P","Fill=—","Direction=H","UseDPDF=Y")</f>
        <v>110.626</v>
      </c>
      <c r="L11" s="13">
        <f>_xll.BDH("ALNY US Equity","BS_ACCTS_REC_EXCL_NOTES_REC","FQ2 2021","FQ2 2021","Currency=USD","Period=FQ","BEST_FPERIOD_OVERRIDE=FQ","FILING_STATUS=MR","SCALING_FORMAT=MLN","Sort=A","Dates=H","DateFormat=P","Fill=—","Direction=H","UseDPDF=Y")</f>
        <v>146.58699999999999</v>
      </c>
      <c r="M11" s="13">
        <f>_xll.BDH("ALNY US Equity","BS_ACCTS_REC_EXCL_NOTES_REC","FQ3 2021","FQ3 2021","Currency=USD","Period=FQ","BEST_FPERIOD_OVERRIDE=FQ","FILING_STATUS=MR","SCALING_FORMAT=MLN","Sort=A","Dates=H","DateFormat=P","Fill=—","Direction=H","UseDPDF=Y")</f>
        <v>141.06399999999999</v>
      </c>
      <c r="N11" s="13">
        <f>_xll.BDH("ALNY US Equity","BS_ACCTS_REC_EXCL_NOTES_REC","FQ4 2021","FQ4 2021","Currency=USD","Period=FQ","BEST_FPERIOD_OVERRIDE=FQ","FILING_STATUS=MR","SCALING_FORMAT=MLN","Sort=A","Dates=H","DateFormat=P","Fill=—","Direction=H","UseDPDF=Y")</f>
        <v>198.571</v>
      </c>
      <c r="O11" s="13">
        <f>_xll.BDH("ALNY US Equity","BS_ACCTS_REC_EXCL_NOTES_REC","FQ1 2022","FQ1 2022","Currency=USD","Period=FQ","BEST_FPERIOD_OVERRIDE=FQ","FILING_STATUS=MR","SCALING_FORMAT=MLN","Sort=A","Dates=H","DateFormat=P","Fill=—","Direction=H","UseDPDF=Y")</f>
        <v>156.53299999999999</v>
      </c>
      <c r="P11" s="13">
        <f>_xll.BDH("ALNY US Equity","BS_ACCTS_REC_EXCL_NOTES_REC","FQ2 2022","FQ2 2022","Currency=USD","Period=FQ","BEST_FPERIOD_OVERRIDE=FQ","FILING_STATUS=MR","SCALING_FORMAT=MLN","Sort=A","Dates=H","DateFormat=P","Fill=—","Direction=H","UseDPDF=Y")</f>
        <v>142.27099999999999</v>
      </c>
      <c r="Q11" s="13">
        <f>_xll.BDH("ALNY US Equity","BS_ACCTS_REC_EXCL_NOTES_REC","FQ3 2022","FQ3 2022","Currency=USD","Period=FQ","BEST_FPERIOD_OVERRIDE=FQ","FILING_STATUS=MR","SCALING_FORMAT=MLN","Sort=A","Dates=H","DateFormat=P","Fill=—","Direction=H","UseDPDF=Y")</f>
        <v>184.51300000000001</v>
      </c>
      <c r="R11" s="13">
        <f>_xll.BDH("ALNY US Equity","BS_ACCTS_REC_EXCL_NOTES_REC","FQ4 2022","FQ4 2022","Currency=USD","Period=FQ","BEST_FPERIOD_OVERRIDE=FQ","FILING_STATUS=MR","SCALING_FORMAT=MLN","Sort=A","Dates=H","DateFormat=P","Fill=—","Direction=H","UseDPDF=Y")</f>
        <v>237.96299999999999</v>
      </c>
      <c r="S11" s="13">
        <f>_xll.BDH("ALNY US Equity","BS_ACCTS_REC_EXCL_NOTES_REC","FQ1 2023","FQ1 2023","Currency=USD","Period=FQ","BEST_FPERIOD_OVERRIDE=FQ","FILING_STATUS=MR","SCALING_FORMAT=MLN","Sort=A","Dates=H","DateFormat=P","Fill=—","Direction=H","UseDPDF=Y")</f>
        <v>219.434</v>
      </c>
      <c r="T11" s="13">
        <f>_xll.BDH("ALNY US Equity","BS_ACCTS_REC_EXCL_NOTES_REC","FQ2 2023","FQ2 2023","Currency=USD","Period=FQ","BEST_FPERIOD_OVERRIDE=FQ","FILING_STATUS=MR","SCALING_FORMAT=MLN","Sort=A","Dates=H","DateFormat=P","Fill=—","Direction=H","UseDPDF=Y")</f>
        <v>220.63499999999999</v>
      </c>
      <c r="U11" s="13">
        <f>_xll.BDH("ALNY US Equity","BS_ACCTS_REC_EXCL_NOTES_REC","FQ3 2023","FQ3 2023","Currency=USD","Period=FQ","BEST_FPERIOD_OVERRIDE=FQ","FILING_STATUS=MR","SCALING_FORMAT=MLN","Sort=A","Dates=H","DateFormat=P","Fill=—","Direction=H","UseDPDF=Y")</f>
        <v>325.44499999999999</v>
      </c>
      <c r="V11" s="13">
        <f>_xll.BDH("ALNY US Equity","BS_ACCTS_REC_EXCL_NOTES_REC","FQ4 2023","FQ4 2023","Currency=USD","Period=FQ","BEST_FPERIOD_OVERRIDE=FQ","FILING_STATUS=MR","SCALING_FORMAT=MLN","Sort=A","Dates=H","DateFormat=P","Fill=—","Direction=H","UseDPDF=Y")</f>
        <v>327.78699999999998</v>
      </c>
      <c r="W11" s="13">
        <f>_xll.BDH("ALNY US Equity","BS_ACCTS_REC_EXCL_NOTES_REC","FQ1 2024","FQ1 2024","Currency=USD","Period=FQ","BEST_FPERIOD_OVERRIDE=FQ","FILING_STATUS=MR","SCALING_FORMAT=MLN","Sort=A","Dates=H","DateFormat=P","Fill=—","Direction=H","UseDPDF=Y")</f>
        <v>321.37700000000001</v>
      </c>
      <c r="X11" s="13">
        <f>_xll.BDH("ALNY US Equity","BS_ACCTS_REC_EXCL_NOTES_REC","FQ2 2024","FQ2 2024","Currency=USD","Period=FQ","BEST_FPERIOD_OVERRIDE=FQ","FILING_STATUS=MR","SCALING_FORMAT=MLN","Sort=A","Dates=H","DateFormat=P","Fill=—","Direction=H","UseDPDF=Y")</f>
        <v>309.48099999999999</v>
      </c>
      <c r="Y11" s="13">
        <f>_xll.BDH("ALNY US Equity","BS_ACCTS_REC_EXCL_NOTES_REC","FQ3 2024","FQ3 2024","Currency=USD","Period=FQ","BEST_FPERIOD_OVERRIDE=FQ","FILING_STATUS=MR","SCALING_FORMAT=MLN","Sort=A","Dates=H","DateFormat=P","Fill=—","Direction=H","UseDPDF=Y")</f>
        <v>353.85199999999998</v>
      </c>
      <c r="Z11" s="13">
        <f>_xll.BDH("ALNY US Equity","BS_ACCTS_REC_EXCL_NOTES_REC","FQ4 2024","FQ4 2024","Currency=USD","Period=FQ","BEST_FPERIOD_OVERRIDE=FQ","FILING_STATUS=MR","SCALING_FORMAT=MLN","Sort=A","Dates=H","DateFormat=P","Fill=—","Direction=H","UseDPDF=Y")</f>
        <v>405.30799999999999</v>
      </c>
    </row>
    <row r="12" spans="1:26" x14ac:dyDescent="0.25">
      <c r="A12" s="10" t="s">
        <v>185</v>
      </c>
      <c r="B12" s="10" t="s">
        <v>186</v>
      </c>
      <c r="C12" s="13">
        <f>_xll.BDH("ALNY US Equity","NOTES_RECEIVABLE","FQ1 2019","FQ1 2019","Currency=USD","Period=FQ","BEST_FPERIOD_OVERRIDE=FQ","FILING_STATUS=MR","SCALING_FORMAT=MLN","Sort=A","Dates=H","DateFormat=P","Fill=—","Direction=H","UseDPDF=Y")</f>
        <v>0</v>
      </c>
      <c r="D12" s="13">
        <f>_xll.BDH("ALNY US Equity","NOTES_RECEIVABLE","FQ2 2019","FQ2 2019","Currency=USD","Period=FQ","BEST_FPERIOD_OVERRIDE=FQ","FILING_STATUS=MR","SCALING_FORMAT=MLN","Sort=A","Dates=H","DateFormat=P","Fill=—","Direction=H","UseDPDF=Y")</f>
        <v>0</v>
      </c>
      <c r="E12" s="13">
        <f>_xll.BDH("ALNY US Equity","NOTES_RECEIVABLE","FQ3 2019","FQ3 2019","Currency=USD","Period=FQ","BEST_FPERIOD_OVERRIDE=FQ","FILING_STATUS=MR","SCALING_FORMAT=MLN","Sort=A","Dates=H","DateFormat=P","Fill=—","Direction=H","UseDPDF=Y")</f>
        <v>0</v>
      </c>
      <c r="F12" s="13">
        <f>_xll.BDH("ALNY US Equity","NOTES_RECEIVABLE","FQ4 2019","FQ4 2019","Currency=USD","Period=FQ","BEST_FPERIOD_OVERRIDE=FQ","FILING_STATUS=MR","SCALING_FORMAT=MLN","Sort=A","Dates=H","DateFormat=P","Fill=—","Direction=H","UseDPDF=Y")</f>
        <v>0</v>
      </c>
      <c r="G12" s="13">
        <f>_xll.BDH("ALNY US Equity","NOTES_RECEIVABLE","FQ1 2020","FQ1 2020","Currency=USD","Period=FQ","BEST_FPERIOD_OVERRIDE=FQ","FILING_STATUS=MR","SCALING_FORMAT=MLN","Sort=A","Dates=H","DateFormat=P","Fill=—","Direction=H","UseDPDF=Y")</f>
        <v>0</v>
      </c>
      <c r="H12" s="13">
        <f>_xll.BDH("ALNY US Equity","NOTES_RECEIVABLE","FQ2 2020","FQ2 2020","Currency=USD","Period=FQ","BEST_FPERIOD_OVERRIDE=FQ","FILING_STATUS=MR","SCALING_FORMAT=MLN","Sort=A","Dates=H","DateFormat=P","Fill=—","Direction=H","UseDPDF=Y")</f>
        <v>0</v>
      </c>
      <c r="I12" s="13">
        <f>_xll.BDH("ALNY US Equity","NOTES_RECEIVABLE","FQ3 2020","FQ3 2020","Currency=USD","Period=FQ","BEST_FPERIOD_OVERRIDE=FQ","FILING_STATUS=MR","SCALING_FORMAT=MLN","Sort=A","Dates=H","DateFormat=P","Fill=—","Direction=H","UseDPDF=Y")</f>
        <v>0</v>
      </c>
      <c r="J12" s="13">
        <f>_xll.BDH("ALNY US Equity","NOTES_RECEIVABLE","FQ4 2020","FQ4 2020","Currency=USD","Period=FQ","BEST_FPERIOD_OVERRIDE=FQ","FILING_STATUS=MR","SCALING_FORMAT=MLN","Sort=A","Dates=H","DateFormat=P","Fill=—","Direction=H","UseDPDF=Y")</f>
        <v>0</v>
      </c>
      <c r="K12" s="13">
        <f>_xll.BDH("ALNY US Equity","NOTES_RECEIVABLE","FQ1 2021","FQ1 2021","Currency=USD","Period=FQ","BEST_FPERIOD_OVERRIDE=FQ","FILING_STATUS=MR","SCALING_FORMAT=MLN","Sort=A","Dates=H","DateFormat=P","Fill=—","Direction=H","UseDPDF=Y")</f>
        <v>0</v>
      </c>
      <c r="L12" s="13">
        <f>_xll.BDH("ALNY US Equity","NOTES_RECEIVABLE","FQ2 2021","FQ2 2021","Currency=USD","Period=FQ","BEST_FPERIOD_OVERRIDE=FQ","FILING_STATUS=MR","SCALING_FORMAT=MLN","Sort=A","Dates=H","DateFormat=P","Fill=—","Direction=H","UseDPDF=Y")</f>
        <v>0</v>
      </c>
      <c r="M12" s="13">
        <f>_xll.BDH("ALNY US Equity","NOTES_RECEIVABLE","FQ3 2021","FQ3 2021","Currency=USD","Period=FQ","BEST_FPERIOD_OVERRIDE=FQ","FILING_STATUS=MR","SCALING_FORMAT=MLN","Sort=A","Dates=H","DateFormat=P","Fill=—","Direction=H","UseDPDF=Y")</f>
        <v>0</v>
      </c>
      <c r="N12" s="13">
        <f>_xll.BDH("ALNY US Equity","NOTES_RECEIVABLE","FQ4 2021","FQ4 2021","Currency=USD","Period=FQ","BEST_FPERIOD_OVERRIDE=FQ","FILING_STATUS=MR","SCALING_FORMAT=MLN","Sort=A","Dates=H","DateFormat=P","Fill=—","Direction=H","UseDPDF=Y")</f>
        <v>0</v>
      </c>
      <c r="O12" s="13">
        <f>_xll.BDH("ALNY US Equity","NOTES_RECEIVABLE","FQ1 2022","FQ1 2022","Currency=USD","Period=FQ","BEST_FPERIOD_OVERRIDE=FQ","FILING_STATUS=MR","SCALING_FORMAT=MLN","Sort=A","Dates=H","DateFormat=P","Fill=—","Direction=H","UseDPDF=Y")</f>
        <v>0</v>
      </c>
      <c r="P12" s="13">
        <f>_xll.BDH("ALNY US Equity","NOTES_RECEIVABLE","FQ2 2022","FQ2 2022","Currency=USD","Period=FQ","BEST_FPERIOD_OVERRIDE=FQ","FILING_STATUS=MR","SCALING_FORMAT=MLN","Sort=A","Dates=H","DateFormat=P","Fill=—","Direction=H","UseDPDF=Y")</f>
        <v>0</v>
      </c>
      <c r="Q12" s="13">
        <f>_xll.BDH("ALNY US Equity","NOTES_RECEIVABLE","FQ3 2022","FQ3 2022","Currency=USD","Period=FQ","BEST_FPERIOD_OVERRIDE=FQ","FILING_STATUS=MR","SCALING_FORMAT=MLN","Sort=A","Dates=H","DateFormat=P","Fill=—","Direction=H","UseDPDF=Y")</f>
        <v>0</v>
      </c>
      <c r="R12" s="13">
        <f>_xll.BDH("ALNY US Equity","NOTES_RECEIVABLE","FQ4 2022","FQ4 2022","Currency=USD","Period=FQ","BEST_FPERIOD_OVERRIDE=FQ","FILING_STATUS=MR","SCALING_FORMAT=MLN","Sort=A","Dates=H","DateFormat=P","Fill=—","Direction=H","UseDPDF=Y")</f>
        <v>0</v>
      </c>
      <c r="S12" s="13">
        <f>_xll.BDH("ALNY US Equity","NOTES_RECEIVABLE","FQ1 2023","FQ1 2023","Currency=USD","Period=FQ","BEST_FPERIOD_OVERRIDE=FQ","FILING_STATUS=MR","SCALING_FORMAT=MLN","Sort=A","Dates=H","DateFormat=P","Fill=—","Direction=H","UseDPDF=Y")</f>
        <v>0</v>
      </c>
      <c r="T12" s="13">
        <f>_xll.BDH("ALNY US Equity","NOTES_RECEIVABLE","FQ2 2023","FQ2 2023","Currency=USD","Period=FQ","BEST_FPERIOD_OVERRIDE=FQ","FILING_STATUS=MR","SCALING_FORMAT=MLN","Sort=A","Dates=H","DateFormat=P","Fill=—","Direction=H","UseDPDF=Y")</f>
        <v>0</v>
      </c>
      <c r="U12" s="13">
        <f>_xll.BDH("ALNY US Equity","NOTES_RECEIVABLE","FQ3 2023","FQ3 2023","Currency=USD","Period=FQ","BEST_FPERIOD_OVERRIDE=FQ","FILING_STATUS=MR","SCALING_FORMAT=MLN","Sort=A","Dates=H","DateFormat=P","Fill=—","Direction=H","UseDPDF=Y")</f>
        <v>0</v>
      </c>
      <c r="V12" s="13">
        <f>_xll.BDH("ALNY US Equity","NOTES_RECEIVABLE","FQ4 2023","FQ4 2023","Currency=USD","Period=FQ","BEST_FPERIOD_OVERRIDE=FQ","FILING_STATUS=MR","SCALING_FORMAT=MLN","Sort=A","Dates=H","DateFormat=P","Fill=—","Direction=H","UseDPDF=Y")</f>
        <v>0</v>
      </c>
      <c r="W12" s="13">
        <f>_xll.BDH("ALNY US Equity","NOTES_RECEIVABLE","FQ1 2024","FQ1 2024","Currency=USD","Period=FQ","BEST_FPERIOD_OVERRIDE=FQ","FILING_STATUS=MR","SCALING_FORMAT=MLN","Sort=A","Dates=H","DateFormat=P","Fill=—","Direction=H","UseDPDF=Y")</f>
        <v>0</v>
      </c>
      <c r="X12" s="13">
        <f>_xll.BDH("ALNY US Equity","NOTES_RECEIVABLE","FQ2 2024","FQ2 2024","Currency=USD","Period=FQ","BEST_FPERIOD_OVERRIDE=FQ","FILING_STATUS=MR","SCALING_FORMAT=MLN","Sort=A","Dates=H","DateFormat=P","Fill=—","Direction=H","UseDPDF=Y")</f>
        <v>0</v>
      </c>
      <c r="Y12" s="13">
        <f>_xll.BDH("ALNY US Equity","NOTES_RECEIVABLE","FQ3 2024","FQ3 2024","Currency=USD","Period=FQ","BEST_FPERIOD_OVERRIDE=FQ","FILING_STATUS=MR","SCALING_FORMAT=MLN","Sort=A","Dates=H","DateFormat=P","Fill=—","Direction=H","UseDPDF=Y")</f>
        <v>0</v>
      </c>
      <c r="Z12" s="13">
        <f>_xll.BDH("ALNY US Equity","NOTES_RECEIVABLE","FQ4 2024","FQ4 2024","Currency=USD","Period=FQ","BEST_FPERIOD_OVERRIDE=FQ","FILING_STATUS=MR","SCALING_FORMAT=MLN","Sort=A","Dates=H","DateFormat=P","Fill=—","Direction=H","UseDPDF=Y")</f>
        <v>0</v>
      </c>
    </row>
    <row r="13" spans="1:26" x14ac:dyDescent="0.25">
      <c r="A13" s="10" t="s">
        <v>187</v>
      </c>
      <c r="B13" s="10" t="s">
        <v>188</v>
      </c>
      <c r="C13" s="13">
        <f>_xll.BDH("ALNY US Equity","BS_INVENTORIES","FQ1 2019","FQ1 2019","Currency=USD","Period=FQ","BEST_FPERIOD_OVERRIDE=FQ","FILING_STATUS=MR","SCALING_FORMAT=MLN","Sort=A","Dates=H","DateFormat=P","Fill=—","Direction=H","UseDPDF=Y")</f>
        <v>32.000999999999998</v>
      </c>
      <c r="D13" s="13">
        <f>_xll.BDH("ALNY US Equity","BS_INVENTORIES","FQ2 2019","FQ2 2019","Currency=USD","Period=FQ","BEST_FPERIOD_OVERRIDE=FQ","FILING_STATUS=MR","SCALING_FORMAT=MLN","Sort=A","Dates=H","DateFormat=P","Fill=—","Direction=H","UseDPDF=Y")</f>
        <v>40.587000000000003</v>
      </c>
      <c r="E13" s="13">
        <f>_xll.BDH("ALNY US Equity","BS_INVENTORIES","FQ3 2019","FQ3 2019","Currency=USD","Period=FQ","BEST_FPERIOD_OVERRIDE=FQ","FILING_STATUS=MR","SCALING_FORMAT=MLN","Sort=A","Dates=H","DateFormat=P","Fill=—","Direction=H","UseDPDF=Y")</f>
        <v>54.561999999999998</v>
      </c>
      <c r="F13" s="13">
        <f>_xll.BDH("ALNY US Equity","BS_INVENTORIES","FQ4 2019","FQ4 2019","Currency=USD","Period=FQ","BEST_FPERIOD_OVERRIDE=FQ","FILING_STATUS=MR","SCALING_FORMAT=MLN","Sort=A","Dates=H","DateFormat=P","Fill=—","Direction=H","UseDPDF=Y")</f>
        <v>56.347999999999999</v>
      </c>
      <c r="G13" s="13">
        <f>_xll.BDH("ALNY US Equity","BS_INVENTORIES","FQ1 2020","FQ1 2020","Currency=USD","Period=FQ","BEST_FPERIOD_OVERRIDE=FQ","FILING_STATUS=MR","SCALING_FORMAT=MLN","Sort=A","Dates=H","DateFormat=P","Fill=—","Direction=H","UseDPDF=Y")</f>
        <v>68.3</v>
      </c>
      <c r="H13" s="13">
        <f>_xll.BDH("ALNY US Equity","BS_INVENTORIES","FQ2 2020","FQ2 2020","Currency=USD","Period=FQ","BEST_FPERIOD_OVERRIDE=FQ","FILING_STATUS=MR","SCALING_FORMAT=MLN","Sort=A","Dates=H","DateFormat=P","Fill=—","Direction=H","UseDPDF=Y")</f>
        <v>77.418000000000006</v>
      </c>
      <c r="I13" s="13">
        <f>_xll.BDH("ALNY US Equity","BS_INVENTORIES","FQ3 2020","FQ3 2020","Currency=USD","Period=FQ","BEST_FPERIOD_OVERRIDE=FQ","FILING_STATUS=MR","SCALING_FORMAT=MLN","Sort=A","Dates=H","DateFormat=P","Fill=—","Direction=H","UseDPDF=Y")</f>
        <v>66.941999999999993</v>
      </c>
      <c r="J13" s="13">
        <f>_xll.BDH("ALNY US Equity","BS_INVENTORIES","FQ4 2020","FQ4 2020","Currency=USD","Period=FQ","BEST_FPERIOD_OVERRIDE=FQ","FILING_STATUS=MR","SCALING_FORMAT=MLN","Sort=A","Dates=H","DateFormat=P","Fill=—","Direction=H","UseDPDF=Y")</f>
        <v>75.201999999999998</v>
      </c>
      <c r="K13" s="13">
        <f>_xll.BDH("ALNY US Equity","BS_INVENTORIES","FQ1 2021","FQ1 2021","Currency=USD","Period=FQ","BEST_FPERIOD_OVERRIDE=FQ","FILING_STATUS=MR","SCALING_FORMAT=MLN","Sort=A","Dates=H","DateFormat=P","Fill=—","Direction=H","UseDPDF=Y")</f>
        <v>73.94</v>
      </c>
      <c r="L13" s="13">
        <f>_xll.BDH("ALNY US Equity","BS_INVENTORIES","FQ2 2021","FQ2 2021","Currency=USD","Period=FQ","BEST_FPERIOD_OVERRIDE=FQ","FILING_STATUS=MR","SCALING_FORMAT=MLN","Sort=A","Dates=H","DateFormat=P","Fill=—","Direction=H","UseDPDF=Y")</f>
        <v>84.358000000000004</v>
      </c>
      <c r="M13" s="13">
        <f>_xll.BDH("ALNY US Equity","BS_INVENTORIES","FQ3 2021","FQ3 2021","Currency=USD","Period=FQ","BEST_FPERIOD_OVERRIDE=FQ","FILING_STATUS=MR","SCALING_FORMAT=MLN","Sort=A","Dates=H","DateFormat=P","Fill=—","Direction=H","UseDPDF=Y")</f>
        <v>97.899000000000001</v>
      </c>
      <c r="N13" s="13">
        <f>_xll.BDH("ALNY US Equity","BS_INVENTORIES","FQ4 2021","FQ4 2021","Currency=USD","Period=FQ","BEST_FPERIOD_OVERRIDE=FQ","FILING_STATUS=MR","SCALING_FORMAT=MLN","Sort=A","Dates=H","DateFormat=P","Fill=—","Direction=H","UseDPDF=Y")</f>
        <v>86.363</v>
      </c>
      <c r="O13" s="13">
        <f>_xll.BDH("ALNY US Equity","BS_INVENTORIES","FQ1 2022","FQ1 2022","Currency=USD","Period=FQ","BEST_FPERIOD_OVERRIDE=FQ","FILING_STATUS=MR","SCALING_FORMAT=MLN","Sort=A","Dates=H","DateFormat=P","Fill=—","Direction=H","UseDPDF=Y")</f>
        <v>78.516000000000005</v>
      </c>
      <c r="P13" s="13">
        <f>_xll.BDH("ALNY US Equity","BS_INVENTORIES","FQ2 2022","FQ2 2022","Currency=USD","Period=FQ","BEST_FPERIOD_OVERRIDE=FQ","FILING_STATUS=MR","SCALING_FORMAT=MLN","Sort=A","Dates=H","DateFormat=P","Fill=—","Direction=H","UseDPDF=Y")</f>
        <v>88.975999999999999</v>
      </c>
      <c r="Q13" s="13">
        <f>_xll.BDH("ALNY US Equity","BS_INVENTORIES","FQ3 2022","FQ3 2022","Currency=USD","Period=FQ","BEST_FPERIOD_OVERRIDE=FQ","FILING_STATUS=MR","SCALING_FORMAT=MLN","Sort=A","Dates=H","DateFormat=P","Fill=—","Direction=H","UseDPDF=Y")</f>
        <v>115.489</v>
      </c>
      <c r="R13" s="13">
        <f>_xll.BDH("ALNY US Equity","BS_INVENTORIES","FQ4 2022","FQ4 2022","Currency=USD","Period=FQ","BEST_FPERIOD_OVERRIDE=FQ","FILING_STATUS=MR","SCALING_FORMAT=MLN","Sort=A","Dates=H","DateFormat=P","Fill=—","Direction=H","UseDPDF=Y")</f>
        <v>128.96199999999999</v>
      </c>
      <c r="S13" s="13">
        <f>_xll.BDH("ALNY US Equity","BS_INVENTORIES","FQ1 2023","FQ1 2023","Currency=USD","Period=FQ","BEST_FPERIOD_OVERRIDE=FQ","FILING_STATUS=MR","SCALING_FORMAT=MLN","Sort=A","Dates=H","DateFormat=P","Fill=—","Direction=H","UseDPDF=Y")</f>
        <v>131.87899999999999</v>
      </c>
      <c r="T13" s="13">
        <f>_xll.BDH("ALNY US Equity","BS_INVENTORIES","FQ2 2023","FQ2 2023","Currency=USD","Period=FQ","BEST_FPERIOD_OVERRIDE=FQ","FILING_STATUS=MR","SCALING_FORMAT=MLN","Sort=A","Dates=H","DateFormat=P","Fill=—","Direction=H","UseDPDF=Y")</f>
        <v>100.453</v>
      </c>
      <c r="U13" s="13">
        <f>_xll.BDH("ALNY US Equity","BS_INVENTORIES","FQ3 2023","FQ3 2023","Currency=USD","Period=FQ","BEST_FPERIOD_OVERRIDE=FQ","FILING_STATUS=MR","SCALING_FORMAT=MLN","Sort=A","Dates=H","DateFormat=P","Fill=—","Direction=H","UseDPDF=Y")</f>
        <v>95.771000000000001</v>
      </c>
      <c r="V13" s="13">
        <f>_xll.BDH("ALNY US Equity","BS_INVENTORIES","FQ4 2023","FQ4 2023","Currency=USD","Period=FQ","BEST_FPERIOD_OVERRIDE=FQ","FILING_STATUS=MR","SCALING_FORMAT=MLN","Sort=A","Dates=H","DateFormat=P","Fill=—","Direction=H","UseDPDF=Y")</f>
        <v>89.146000000000001</v>
      </c>
      <c r="W13" s="13">
        <f>_xll.BDH("ALNY US Equity","BS_INVENTORIES","FQ1 2024","FQ1 2024","Currency=USD","Period=FQ","BEST_FPERIOD_OVERRIDE=FQ","FILING_STATUS=MR","SCALING_FORMAT=MLN","Sort=A","Dates=H","DateFormat=P","Fill=—","Direction=H","UseDPDF=Y")</f>
        <v>93.988</v>
      </c>
      <c r="X13" s="13">
        <f>_xll.BDH("ALNY US Equity","BS_INVENTORIES","FQ2 2024","FQ2 2024","Currency=USD","Period=FQ","BEST_FPERIOD_OVERRIDE=FQ","FILING_STATUS=MR","SCALING_FORMAT=MLN","Sort=A","Dates=H","DateFormat=P","Fill=—","Direction=H","UseDPDF=Y")</f>
        <v>83.980999999999995</v>
      </c>
      <c r="Y13" s="13">
        <f>_xll.BDH("ALNY US Equity","BS_INVENTORIES","FQ3 2024","FQ3 2024","Currency=USD","Period=FQ","BEST_FPERIOD_OVERRIDE=FQ","FILING_STATUS=MR","SCALING_FORMAT=MLN","Sort=A","Dates=H","DateFormat=P","Fill=—","Direction=H","UseDPDF=Y")</f>
        <v>75.986999999999995</v>
      </c>
      <c r="Z13" s="13">
        <f>_xll.BDH("ALNY US Equity","BS_INVENTORIES","FQ4 2024","FQ4 2024","Currency=USD","Period=FQ","BEST_FPERIOD_OVERRIDE=FQ","FILING_STATUS=MR","SCALING_FORMAT=MLN","Sort=A","Dates=H","DateFormat=P","Fill=—","Direction=H","UseDPDF=Y")</f>
        <v>78.509</v>
      </c>
    </row>
    <row r="14" spans="1:26" x14ac:dyDescent="0.25">
      <c r="A14" s="10" t="s">
        <v>189</v>
      </c>
      <c r="B14" s="10" t="s">
        <v>190</v>
      </c>
      <c r="C14" s="13">
        <f>_xll.BDH("ALNY US Equity","INVTRY_RAW_MATERIALS","FQ1 2019","FQ1 2019","Currency=USD","Period=FQ","BEST_FPERIOD_OVERRIDE=FQ","FILING_STATUS=MR","SCALING_FORMAT=MLN","Sort=A","Dates=H","DateFormat=P","Fill=—","Direction=H","UseDPDF=Y")</f>
        <v>9.1790000000000003</v>
      </c>
      <c r="D14" s="13">
        <f>_xll.BDH("ALNY US Equity","INVTRY_RAW_MATERIALS","FQ2 2019","FQ2 2019","Currency=USD","Period=FQ","BEST_FPERIOD_OVERRIDE=FQ","FILING_STATUS=MR","SCALING_FORMAT=MLN","Sort=A","Dates=H","DateFormat=P","Fill=—","Direction=H","UseDPDF=Y")</f>
        <v>8.4459999999999997</v>
      </c>
      <c r="E14" s="13">
        <f>_xll.BDH("ALNY US Equity","INVTRY_RAW_MATERIALS","FQ3 2019","FQ3 2019","Currency=USD","Period=FQ","BEST_FPERIOD_OVERRIDE=FQ","FILING_STATUS=MR","SCALING_FORMAT=MLN","Sort=A","Dates=H","DateFormat=P","Fill=—","Direction=H","UseDPDF=Y")</f>
        <v>11.6</v>
      </c>
      <c r="F14" s="13">
        <f>_xll.BDH("ALNY US Equity","INVTRY_RAW_MATERIALS","FQ4 2019","FQ4 2019","Currency=USD","Period=FQ","BEST_FPERIOD_OVERRIDE=FQ","FILING_STATUS=MR","SCALING_FORMAT=MLN","Sort=A","Dates=H","DateFormat=P","Fill=—","Direction=H","UseDPDF=Y")</f>
        <v>15.417999999999999</v>
      </c>
      <c r="G14" s="13">
        <f>_xll.BDH("ALNY US Equity","INVTRY_RAW_MATERIALS","FQ1 2020","FQ1 2020","Currency=USD","Period=FQ","BEST_FPERIOD_OVERRIDE=FQ","FILING_STATUS=MR","SCALING_FORMAT=MLN","Sort=A","Dates=H","DateFormat=P","Fill=—","Direction=H","UseDPDF=Y")</f>
        <v>30.661999999999999</v>
      </c>
      <c r="H14" s="13">
        <f>_xll.BDH("ALNY US Equity","INVTRY_RAW_MATERIALS","FQ2 2020","FQ2 2020","Currency=USD","Period=FQ","BEST_FPERIOD_OVERRIDE=FQ","FILING_STATUS=MR","SCALING_FORMAT=MLN","Sort=A","Dates=H","DateFormat=P","Fill=—","Direction=H","UseDPDF=Y")</f>
        <v>43.515000000000001</v>
      </c>
      <c r="I14" s="13" t="str">
        <f>_xll.BDH("ALNY US Equity","INVTRY_RAW_MATERIALS","FQ3 2020","FQ3 2020","Currency=USD","Period=FQ","BEST_FPERIOD_OVERRIDE=FQ","FILING_STATUS=MR","SCALING_FORMAT=MLN","Sort=A","Dates=H","DateFormat=P","Fill=—","Direction=H","UseDPDF=Y")</f>
        <v>—</v>
      </c>
      <c r="J14" s="13">
        <f>_xll.BDH("ALNY US Equity","INVTRY_RAW_MATERIALS","FQ4 2020","FQ4 2020","Currency=USD","Period=FQ","BEST_FPERIOD_OVERRIDE=FQ","FILING_STATUS=MR","SCALING_FORMAT=MLN","Sort=A","Dates=H","DateFormat=P","Fill=—","Direction=H","UseDPDF=Y")</f>
        <v>46.36</v>
      </c>
      <c r="K14" s="13">
        <f>_xll.BDH("ALNY US Equity","INVTRY_RAW_MATERIALS","FQ1 2021","FQ1 2021","Currency=USD","Period=FQ","BEST_FPERIOD_OVERRIDE=FQ","FILING_STATUS=MR","SCALING_FORMAT=MLN","Sort=A","Dates=H","DateFormat=P","Fill=—","Direction=H","UseDPDF=Y")</f>
        <v>53.694000000000003</v>
      </c>
      <c r="L14" s="13">
        <f>_xll.BDH("ALNY US Equity","INVTRY_RAW_MATERIALS","FQ2 2021","FQ2 2021","Currency=USD","Period=FQ","BEST_FPERIOD_OVERRIDE=FQ","FILING_STATUS=MR","SCALING_FORMAT=MLN","Sort=A","Dates=H","DateFormat=P","Fill=—","Direction=H","UseDPDF=Y")</f>
        <v>54.344000000000001</v>
      </c>
      <c r="M14" s="13">
        <f>_xll.BDH("ALNY US Equity","INVTRY_RAW_MATERIALS","FQ3 2021","FQ3 2021","Currency=USD","Period=FQ","BEST_FPERIOD_OVERRIDE=FQ","FILING_STATUS=MR","SCALING_FORMAT=MLN","Sort=A","Dates=H","DateFormat=P","Fill=—","Direction=H","UseDPDF=Y")</f>
        <v>65.158000000000001</v>
      </c>
      <c r="N14" s="13">
        <f>_xll.BDH("ALNY US Equity","INVTRY_RAW_MATERIALS","FQ4 2021","FQ4 2021","Currency=USD","Period=FQ","BEST_FPERIOD_OVERRIDE=FQ","FILING_STATUS=MR","SCALING_FORMAT=MLN","Sort=A","Dates=H","DateFormat=P","Fill=—","Direction=H","UseDPDF=Y")</f>
        <v>14.754</v>
      </c>
      <c r="O14" s="13">
        <f>_xll.BDH("ALNY US Equity","INVTRY_RAW_MATERIALS","FQ1 2022","FQ1 2022","Currency=USD","Period=FQ","BEST_FPERIOD_OVERRIDE=FQ","FILING_STATUS=MR","SCALING_FORMAT=MLN","Sort=A","Dates=H","DateFormat=P","Fill=—","Direction=H","UseDPDF=Y")</f>
        <v>20.372</v>
      </c>
      <c r="P14" s="13">
        <f>_xll.BDH("ALNY US Equity","INVTRY_RAW_MATERIALS","FQ2 2022","FQ2 2022","Currency=USD","Period=FQ","BEST_FPERIOD_OVERRIDE=FQ","FILING_STATUS=MR","SCALING_FORMAT=MLN","Sort=A","Dates=H","DateFormat=P","Fill=—","Direction=H","UseDPDF=Y")</f>
        <v>19.14</v>
      </c>
      <c r="Q14" s="13">
        <f>_xll.BDH("ALNY US Equity","INVTRY_RAW_MATERIALS","FQ3 2022","FQ3 2022","Currency=USD","Period=FQ","BEST_FPERIOD_OVERRIDE=FQ","FILING_STATUS=MR","SCALING_FORMAT=MLN","Sort=A","Dates=H","DateFormat=P","Fill=—","Direction=H","UseDPDF=Y")</f>
        <v>17.718</v>
      </c>
      <c r="R14" s="13">
        <f>_xll.BDH("ALNY US Equity","INVTRY_RAW_MATERIALS","FQ4 2022","FQ4 2022","Currency=USD","Period=FQ","BEST_FPERIOD_OVERRIDE=FQ","FILING_STATUS=MR","SCALING_FORMAT=MLN","Sort=A","Dates=H","DateFormat=P","Fill=—","Direction=H","UseDPDF=Y")</f>
        <v>22.315000000000001</v>
      </c>
      <c r="S14" s="13">
        <f>_xll.BDH("ALNY US Equity","INVTRY_RAW_MATERIALS","FQ1 2023","FQ1 2023","Currency=USD","Period=FQ","BEST_FPERIOD_OVERRIDE=FQ","FILING_STATUS=MR","SCALING_FORMAT=MLN","Sort=A","Dates=H","DateFormat=P","Fill=—","Direction=H","UseDPDF=Y")</f>
        <v>22.875</v>
      </c>
      <c r="T14" s="13">
        <f>_xll.BDH("ALNY US Equity","INVTRY_RAW_MATERIALS","FQ2 2023","FQ2 2023","Currency=USD","Period=FQ","BEST_FPERIOD_OVERRIDE=FQ","FILING_STATUS=MR","SCALING_FORMAT=MLN","Sort=A","Dates=H","DateFormat=P","Fill=—","Direction=H","UseDPDF=Y")</f>
        <v>17.449000000000002</v>
      </c>
      <c r="U14" s="13">
        <f>_xll.BDH("ALNY US Equity","INVTRY_RAW_MATERIALS","FQ3 2023","FQ3 2023","Currency=USD","Period=FQ","BEST_FPERIOD_OVERRIDE=FQ","FILING_STATUS=MR","SCALING_FORMAT=MLN","Sort=A","Dates=H","DateFormat=P","Fill=—","Direction=H","UseDPDF=Y")</f>
        <v>20.120999999999999</v>
      </c>
      <c r="V14" s="13">
        <f>_xll.BDH("ALNY US Equity","INVTRY_RAW_MATERIALS","FQ4 2023","FQ4 2023","Currency=USD","Period=FQ","BEST_FPERIOD_OVERRIDE=FQ","FILING_STATUS=MR","SCALING_FORMAT=MLN","Sort=A","Dates=H","DateFormat=P","Fill=—","Direction=H","UseDPDF=Y")</f>
        <v>23.346</v>
      </c>
      <c r="W14" s="13">
        <f>_xll.BDH("ALNY US Equity","INVTRY_RAW_MATERIALS","FQ1 2024","FQ1 2024","Currency=USD","Period=FQ","BEST_FPERIOD_OVERRIDE=FQ","FILING_STATUS=MR","SCALING_FORMAT=MLN","Sort=A","Dates=H","DateFormat=P","Fill=—","Direction=H","UseDPDF=Y")</f>
        <v>25.401</v>
      </c>
      <c r="X14" s="13">
        <f>_xll.BDH("ALNY US Equity","INVTRY_RAW_MATERIALS","FQ2 2024","FQ2 2024","Currency=USD","Period=FQ","BEST_FPERIOD_OVERRIDE=FQ","FILING_STATUS=MR","SCALING_FORMAT=MLN","Sort=A","Dates=H","DateFormat=P","Fill=—","Direction=H","UseDPDF=Y")</f>
        <v>26.021000000000001</v>
      </c>
      <c r="Y14" s="13">
        <f>_xll.BDH("ALNY US Equity","INVTRY_RAW_MATERIALS","FQ3 2024","FQ3 2024","Currency=USD","Period=FQ","BEST_FPERIOD_OVERRIDE=FQ","FILING_STATUS=MR","SCALING_FORMAT=MLN","Sort=A","Dates=H","DateFormat=P","Fill=—","Direction=H","UseDPDF=Y")</f>
        <v>22.364999999999998</v>
      </c>
      <c r="Z14" s="13">
        <f>_xll.BDH("ALNY US Equity","INVTRY_RAW_MATERIALS","FQ4 2024","FQ4 2024","Currency=USD","Period=FQ","BEST_FPERIOD_OVERRIDE=FQ","FILING_STATUS=MR","SCALING_FORMAT=MLN","Sort=A","Dates=H","DateFormat=P","Fill=—","Direction=H","UseDPDF=Y")</f>
        <v>23.965</v>
      </c>
    </row>
    <row r="15" spans="1:26" x14ac:dyDescent="0.25">
      <c r="A15" s="10" t="s">
        <v>191</v>
      </c>
      <c r="B15" s="10" t="s">
        <v>192</v>
      </c>
      <c r="C15" s="13">
        <f>_xll.BDH("ALNY US Equity","INVTRY_IN_PROGRESS","FQ1 2019","FQ1 2019","Currency=USD","Period=FQ","BEST_FPERIOD_OVERRIDE=FQ","FILING_STATUS=MR","SCALING_FORMAT=MLN","Sort=A","Dates=H","DateFormat=P","Fill=—","Direction=H","UseDPDF=Y")</f>
        <v>22.687000000000001</v>
      </c>
      <c r="D15" s="13">
        <f>_xll.BDH("ALNY US Equity","INVTRY_IN_PROGRESS","FQ2 2019","FQ2 2019","Currency=USD","Period=FQ","BEST_FPERIOD_OVERRIDE=FQ","FILING_STATUS=MR","SCALING_FORMAT=MLN","Sort=A","Dates=H","DateFormat=P","Fill=—","Direction=H","UseDPDF=Y")</f>
        <v>31.696000000000002</v>
      </c>
      <c r="E15" s="13">
        <f>_xll.BDH("ALNY US Equity","INVTRY_IN_PROGRESS","FQ3 2019","FQ3 2019","Currency=USD","Period=FQ","BEST_FPERIOD_OVERRIDE=FQ","FILING_STATUS=MR","SCALING_FORMAT=MLN","Sort=A","Dates=H","DateFormat=P","Fill=—","Direction=H","UseDPDF=Y")</f>
        <v>42.383000000000003</v>
      </c>
      <c r="F15" s="13">
        <f>_xll.BDH("ALNY US Equity","INVTRY_IN_PROGRESS","FQ4 2019","FQ4 2019","Currency=USD","Period=FQ","BEST_FPERIOD_OVERRIDE=FQ","FILING_STATUS=MR","SCALING_FORMAT=MLN","Sort=A","Dates=H","DateFormat=P","Fill=—","Direction=H","UseDPDF=Y")</f>
        <v>38.274999999999999</v>
      </c>
      <c r="G15" s="13">
        <f>_xll.BDH("ALNY US Equity","INVTRY_IN_PROGRESS","FQ1 2020","FQ1 2020","Currency=USD","Period=FQ","BEST_FPERIOD_OVERRIDE=FQ","FILING_STATUS=MR","SCALING_FORMAT=MLN","Sort=A","Dates=H","DateFormat=P","Fill=—","Direction=H","UseDPDF=Y")</f>
        <v>33.411999999999999</v>
      </c>
      <c r="H15" s="13">
        <f>_xll.BDH("ALNY US Equity","INVTRY_IN_PROGRESS","FQ2 2020","FQ2 2020","Currency=USD","Period=FQ","BEST_FPERIOD_OVERRIDE=FQ","FILING_STATUS=MR","SCALING_FORMAT=MLN","Sort=A","Dates=H","DateFormat=P","Fill=—","Direction=H","UseDPDF=Y")</f>
        <v>20.686</v>
      </c>
      <c r="I15" s="13" t="str">
        <f>_xll.BDH("ALNY US Equity","INVTRY_IN_PROGRESS","FQ3 2020","FQ3 2020","Currency=USD","Period=FQ","BEST_FPERIOD_OVERRIDE=FQ","FILING_STATUS=MR","SCALING_FORMAT=MLN","Sort=A","Dates=H","DateFormat=P","Fill=—","Direction=H","UseDPDF=Y")</f>
        <v>—</v>
      </c>
      <c r="J15" s="13">
        <f>_xll.BDH("ALNY US Equity","INVTRY_IN_PROGRESS","FQ4 2020","FQ4 2020","Currency=USD","Period=FQ","BEST_FPERIOD_OVERRIDE=FQ","FILING_STATUS=MR","SCALING_FORMAT=MLN","Sort=A","Dates=H","DateFormat=P","Fill=—","Direction=H","UseDPDF=Y")</f>
        <v>16.149000000000001</v>
      </c>
      <c r="K15" s="13">
        <f>_xll.BDH("ALNY US Equity","INVTRY_IN_PROGRESS","FQ1 2021","FQ1 2021","Currency=USD","Period=FQ","BEST_FPERIOD_OVERRIDE=FQ","FILING_STATUS=MR","SCALING_FORMAT=MLN","Sort=A","Dates=H","DateFormat=P","Fill=—","Direction=H","UseDPDF=Y")</f>
        <v>23.593</v>
      </c>
      <c r="L15" s="13">
        <f>_xll.BDH("ALNY US Equity","INVTRY_IN_PROGRESS","FQ2 2021","FQ2 2021","Currency=USD","Period=FQ","BEST_FPERIOD_OVERRIDE=FQ","FILING_STATUS=MR","SCALING_FORMAT=MLN","Sort=A","Dates=H","DateFormat=P","Fill=—","Direction=H","UseDPDF=Y")</f>
        <v>25.311</v>
      </c>
      <c r="M15" s="13">
        <f>_xll.BDH("ALNY US Equity","INVTRY_IN_PROGRESS","FQ3 2021","FQ3 2021","Currency=USD","Period=FQ","BEST_FPERIOD_OVERRIDE=FQ","FILING_STATUS=MR","SCALING_FORMAT=MLN","Sort=A","Dates=H","DateFormat=P","Fill=—","Direction=H","UseDPDF=Y")</f>
        <v>33.124000000000002</v>
      </c>
      <c r="N15" s="13">
        <f>_xll.BDH("ALNY US Equity","INVTRY_IN_PROGRESS","FQ4 2021","FQ4 2021","Currency=USD","Period=FQ","BEST_FPERIOD_OVERRIDE=FQ","FILING_STATUS=MR","SCALING_FORMAT=MLN","Sort=A","Dates=H","DateFormat=P","Fill=—","Direction=H","UseDPDF=Y")</f>
        <v>64.603999999999999</v>
      </c>
      <c r="O15" s="13">
        <f>_xll.BDH("ALNY US Equity","INVTRY_IN_PROGRESS","FQ1 2022","FQ1 2022","Currency=USD","Period=FQ","BEST_FPERIOD_OVERRIDE=FQ","FILING_STATUS=MR","SCALING_FORMAT=MLN","Sort=A","Dates=H","DateFormat=P","Fill=—","Direction=H","UseDPDF=Y")</f>
        <v>91.262</v>
      </c>
      <c r="P15" s="13">
        <f>_xll.BDH("ALNY US Equity","INVTRY_IN_PROGRESS","FQ2 2022","FQ2 2022","Currency=USD","Period=FQ","BEST_FPERIOD_OVERRIDE=FQ","FILING_STATUS=MR","SCALING_FORMAT=MLN","Sort=A","Dates=H","DateFormat=P","Fill=—","Direction=H","UseDPDF=Y")</f>
        <v>100.191</v>
      </c>
      <c r="Q15" s="13">
        <f>_xll.BDH("ALNY US Equity","INVTRY_IN_PROGRESS","FQ3 2022","FQ3 2022","Currency=USD","Period=FQ","BEST_FPERIOD_OVERRIDE=FQ","FILING_STATUS=MR","SCALING_FORMAT=MLN","Sort=A","Dates=H","DateFormat=P","Fill=—","Direction=H","UseDPDF=Y")</f>
        <v>102.447</v>
      </c>
      <c r="R15" s="13">
        <f>_xll.BDH("ALNY US Equity","INVTRY_IN_PROGRESS","FQ4 2022","FQ4 2022","Currency=USD","Period=FQ","BEST_FPERIOD_OVERRIDE=FQ","FILING_STATUS=MR","SCALING_FORMAT=MLN","Sort=A","Dates=H","DateFormat=P","Fill=—","Direction=H","UseDPDF=Y")</f>
        <v>113.783</v>
      </c>
      <c r="S15" s="13">
        <f>_xll.BDH("ALNY US Equity","INVTRY_IN_PROGRESS","FQ1 2023","FQ1 2023","Currency=USD","Period=FQ","BEST_FPERIOD_OVERRIDE=FQ","FILING_STATUS=MR","SCALING_FORMAT=MLN","Sort=A","Dates=H","DateFormat=P","Fill=—","Direction=H","UseDPDF=Y")</f>
        <v>110.976</v>
      </c>
      <c r="T15" s="13">
        <f>_xll.BDH("ALNY US Equity","INVTRY_IN_PROGRESS","FQ2 2023","FQ2 2023","Currency=USD","Period=FQ","BEST_FPERIOD_OVERRIDE=FQ","FILING_STATUS=MR","SCALING_FORMAT=MLN","Sort=A","Dates=H","DateFormat=P","Fill=—","Direction=H","UseDPDF=Y")</f>
        <v>116.661</v>
      </c>
      <c r="U15" s="13">
        <f>_xll.BDH("ALNY US Equity","INVTRY_IN_PROGRESS","FQ3 2023","FQ3 2023","Currency=USD","Period=FQ","BEST_FPERIOD_OVERRIDE=FQ","FILING_STATUS=MR","SCALING_FORMAT=MLN","Sort=A","Dates=H","DateFormat=P","Fill=—","Direction=H","UseDPDF=Y")</f>
        <v>88.691000000000003</v>
      </c>
      <c r="V15" s="13">
        <f>_xll.BDH("ALNY US Equity","INVTRY_IN_PROGRESS","FQ4 2023","FQ4 2023","Currency=USD","Period=FQ","BEST_FPERIOD_OVERRIDE=FQ","FILING_STATUS=MR","SCALING_FORMAT=MLN","Sort=A","Dates=H","DateFormat=P","Fill=—","Direction=H","UseDPDF=Y")</f>
        <v>76.962999999999994</v>
      </c>
      <c r="W15" s="13">
        <f>_xll.BDH("ALNY US Equity","INVTRY_IN_PROGRESS","FQ1 2024","FQ1 2024","Currency=USD","Period=FQ","BEST_FPERIOD_OVERRIDE=FQ","FILING_STATUS=MR","SCALING_FORMAT=MLN","Sort=A","Dates=H","DateFormat=P","Fill=—","Direction=H","UseDPDF=Y")</f>
        <v>76.070999999999998</v>
      </c>
      <c r="X15" s="13">
        <f>_xll.BDH("ALNY US Equity","INVTRY_IN_PROGRESS","FQ2 2024","FQ2 2024","Currency=USD","Period=FQ","BEST_FPERIOD_OVERRIDE=FQ","FILING_STATUS=MR","SCALING_FORMAT=MLN","Sort=A","Dates=H","DateFormat=P","Fill=—","Direction=H","UseDPDF=Y")</f>
        <v>66.534999999999997</v>
      </c>
      <c r="Y15" s="13">
        <f>_xll.BDH("ALNY US Equity","INVTRY_IN_PROGRESS","FQ3 2024","FQ3 2024","Currency=USD","Period=FQ","BEST_FPERIOD_OVERRIDE=FQ","FILING_STATUS=MR","SCALING_FORMAT=MLN","Sort=A","Dates=H","DateFormat=P","Fill=—","Direction=H","UseDPDF=Y")</f>
        <v>69.864999999999995</v>
      </c>
      <c r="Z15" s="13">
        <f>_xll.BDH("ALNY US Equity","INVTRY_IN_PROGRESS","FQ4 2024","FQ4 2024","Currency=USD","Period=FQ","BEST_FPERIOD_OVERRIDE=FQ","FILING_STATUS=MR","SCALING_FORMAT=MLN","Sort=A","Dates=H","DateFormat=P","Fill=—","Direction=H","UseDPDF=Y")</f>
        <v>64.977999999999994</v>
      </c>
    </row>
    <row r="16" spans="1:26" x14ac:dyDescent="0.25">
      <c r="A16" s="10" t="s">
        <v>193</v>
      </c>
      <c r="B16" s="10" t="s">
        <v>194</v>
      </c>
      <c r="C16" s="13">
        <f>_xll.BDH("ALNY US Equity","INVTRY_FINISHED_GOODS","FQ1 2019","FQ1 2019","Currency=USD","Period=FQ","BEST_FPERIOD_OVERRIDE=FQ","FILING_STATUS=MR","SCALING_FORMAT=MLN","Sort=A","Dates=H","DateFormat=P","Fill=—","Direction=H","UseDPDF=Y")</f>
        <v>0.13500000000000001</v>
      </c>
      <c r="D16" s="13">
        <f>_xll.BDH("ALNY US Equity","INVTRY_FINISHED_GOODS","FQ2 2019","FQ2 2019","Currency=USD","Period=FQ","BEST_FPERIOD_OVERRIDE=FQ","FILING_STATUS=MR","SCALING_FORMAT=MLN","Sort=A","Dates=H","DateFormat=P","Fill=—","Direction=H","UseDPDF=Y")</f>
        <v>0.44500000000000001</v>
      </c>
      <c r="E16" s="13">
        <f>_xll.BDH("ALNY US Equity","INVTRY_FINISHED_GOODS","FQ3 2019","FQ3 2019","Currency=USD","Period=FQ","BEST_FPERIOD_OVERRIDE=FQ","FILING_STATUS=MR","SCALING_FORMAT=MLN","Sort=A","Dates=H","DateFormat=P","Fill=—","Direction=H","UseDPDF=Y")</f>
        <v>0.57899999999999996</v>
      </c>
      <c r="F16" s="13">
        <f>_xll.BDH("ALNY US Equity","INVTRY_FINISHED_GOODS","FQ4 2019","FQ4 2019","Currency=USD","Period=FQ","BEST_FPERIOD_OVERRIDE=FQ","FILING_STATUS=MR","SCALING_FORMAT=MLN","Sort=A","Dates=H","DateFormat=P","Fill=—","Direction=H","UseDPDF=Y")</f>
        <v>2.6549999999999998</v>
      </c>
      <c r="G16" s="13">
        <f>_xll.BDH("ALNY US Equity","INVTRY_FINISHED_GOODS","FQ1 2020","FQ1 2020","Currency=USD","Period=FQ","BEST_FPERIOD_OVERRIDE=FQ","FILING_STATUS=MR","SCALING_FORMAT=MLN","Sort=A","Dates=H","DateFormat=P","Fill=—","Direction=H","UseDPDF=Y")</f>
        <v>4.226</v>
      </c>
      <c r="H16" s="13">
        <f>_xll.BDH("ALNY US Equity","INVTRY_FINISHED_GOODS","FQ2 2020","FQ2 2020","Currency=USD","Period=FQ","BEST_FPERIOD_OVERRIDE=FQ","FILING_STATUS=MR","SCALING_FORMAT=MLN","Sort=A","Dates=H","DateFormat=P","Fill=—","Direction=H","UseDPDF=Y")</f>
        <v>13.217000000000001</v>
      </c>
      <c r="I16" s="13" t="str">
        <f>_xll.BDH("ALNY US Equity","INVTRY_FINISHED_GOODS","FQ3 2020","FQ3 2020","Currency=USD","Period=FQ","BEST_FPERIOD_OVERRIDE=FQ","FILING_STATUS=MR","SCALING_FORMAT=MLN","Sort=A","Dates=H","DateFormat=P","Fill=—","Direction=H","UseDPDF=Y")</f>
        <v>—</v>
      </c>
      <c r="J16" s="13">
        <f>_xll.BDH("ALNY US Equity","INVTRY_FINISHED_GOODS","FQ4 2020","FQ4 2020","Currency=USD","Period=FQ","BEST_FPERIOD_OVERRIDE=FQ","FILING_STATUS=MR","SCALING_FORMAT=MLN","Sort=A","Dates=H","DateFormat=P","Fill=—","Direction=H","UseDPDF=Y")</f>
        <v>12.693</v>
      </c>
      <c r="K16" s="13">
        <f>_xll.BDH("ALNY US Equity","INVTRY_FINISHED_GOODS","FQ1 2021","FQ1 2021","Currency=USD","Period=FQ","BEST_FPERIOD_OVERRIDE=FQ","FILING_STATUS=MR","SCALING_FORMAT=MLN","Sort=A","Dates=H","DateFormat=P","Fill=—","Direction=H","UseDPDF=Y")</f>
        <v>13.753</v>
      </c>
      <c r="L16" s="13">
        <f>_xll.BDH("ALNY US Equity","INVTRY_FINISHED_GOODS","FQ2 2021","FQ2 2021","Currency=USD","Period=FQ","BEST_FPERIOD_OVERRIDE=FQ","FILING_STATUS=MR","SCALING_FORMAT=MLN","Sort=A","Dates=H","DateFormat=P","Fill=—","Direction=H","UseDPDF=Y")</f>
        <v>16.452999999999999</v>
      </c>
      <c r="M16" s="13">
        <f>_xll.BDH("ALNY US Equity","INVTRY_FINISHED_GOODS","FQ3 2021","FQ3 2021","Currency=USD","Period=FQ","BEST_FPERIOD_OVERRIDE=FQ","FILING_STATUS=MR","SCALING_FORMAT=MLN","Sort=A","Dates=H","DateFormat=P","Fill=—","Direction=H","UseDPDF=Y")</f>
        <v>12.667</v>
      </c>
      <c r="N16" s="13">
        <f>_xll.BDH("ALNY US Equity","INVTRY_FINISHED_GOODS","FQ4 2021","FQ4 2021","Currency=USD","Period=FQ","BEST_FPERIOD_OVERRIDE=FQ","FILING_STATUS=MR","SCALING_FORMAT=MLN","Sort=A","Dates=H","DateFormat=P","Fill=—","Direction=H","UseDPDF=Y")</f>
        <v>7.0049999999999999</v>
      </c>
      <c r="O16" s="13">
        <f>_xll.BDH("ALNY US Equity","INVTRY_FINISHED_GOODS","FQ1 2022","FQ1 2022","Currency=USD","Period=FQ","BEST_FPERIOD_OVERRIDE=FQ","FILING_STATUS=MR","SCALING_FORMAT=MLN","Sort=A","Dates=H","DateFormat=P","Fill=—","Direction=H","UseDPDF=Y")</f>
        <v>10.428000000000001</v>
      </c>
      <c r="P16" s="13">
        <f>_xll.BDH("ALNY US Equity","INVTRY_FINISHED_GOODS","FQ2 2022","FQ2 2022","Currency=USD","Period=FQ","BEST_FPERIOD_OVERRIDE=FQ","FILING_STATUS=MR","SCALING_FORMAT=MLN","Sort=A","Dates=H","DateFormat=P","Fill=—","Direction=H","UseDPDF=Y")</f>
        <v>13.192</v>
      </c>
      <c r="Q16" s="13">
        <f>_xll.BDH("ALNY US Equity","INVTRY_FINISHED_GOODS","FQ3 2022","FQ3 2022","Currency=USD","Period=FQ","BEST_FPERIOD_OVERRIDE=FQ","FILING_STATUS=MR","SCALING_FORMAT=MLN","Sort=A","Dates=H","DateFormat=P","Fill=—","Direction=H","UseDPDF=Y")</f>
        <v>21.483000000000001</v>
      </c>
      <c r="R16" s="13">
        <f>_xll.BDH("ALNY US Equity","INVTRY_FINISHED_GOODS","FQ4 2022","FQ4 2022","Currency=USD","Period=FQ","BEST_FPERIOD_OVERRIDE=FQ","FILING_STATUS=MR","SCALING_FORMAT=MLN","Sort=A","Dates=H","DateFormat=P","Fill=—","Direction=H","UseDPDF=Y")</f>
        <v>25.606000000000002</v>
      </c>
      <c r="S16" s="13">
        <f>_xll.BDH("ALNY US Equity","INVTRY_FINISHED_GOODS","FQ1 2023","FQ1 2023","Currency=USD","Period=FQ","BEST_FPERIOD_OVERRIDE=FQ","FILING_STATUS=MR","SCALING_FORMAT=MLN","Sort=A","Dates=H","DateFormat=P","Fill=—","Direction=H","UseDPDF=Y")</f>
        <v>29.533999999999999</v>
      </c>
      <c r="T16" s="13">
        <f>_xll.BDH("ALNY US Equity","INVTRY_FINISHED_GOODS","FQ2 2023","FQ2 2023","Currency=USD","Period=FQ","BEST_FPERIOD_OVERRIDE=FQ","FILING_STATUS=MR","SCALING_FORMAT=MLN","Sort=A","Dates=H","DateFormat=P","Fill=—","Direction=H","UseDPDF=Y")</f>
        <v>28.504999999999999</v>
      </c>
      <c r="U16" s="13">
        <f>_xll.BDH("ALNY US Equity","INVTRY_FINISHED_GOODS","FQ3 2023","FQ3 2023","Currency=USD","Period=FQ","BEST_FPERIOD_OVERRIDE=FQ","FILING_STATUS=MR","SCALING_FORMAT=MLN","Sort=A","Dates=H","DateFormat=P","Fill=—","Direction=H","UseDPDF=Y")</f>
        <v>27.658000000000001</v>
      </c>
      <c r="V16" s="13">
        <f>_xll.BDH("ALNY US Equity","INVTRY_FINISHED_GOODS","FQ4 2023","FQ4 2023","Currency=USD","Period=FQ","BEST_FPERIOD_OVERRIDE=FQ","FILING_STATUS=MR","SCALING_FORMAT=MLN","Sort=A","Dates=H","DateFormat=P","Fill=—","Direction=H","UseDPDF=Y")</f>
        <v>25.123000000000001</v>
      </c>
      <c r="W16" s="13">
        <f>_xll.BDH("ALNY US Equity","INVTRY_FINISHED_GOODS","FQ1 2024","FQ1 2024","Currency=USD","Period=FQ","BEST_FPERIOD_OVERRIDE=FQ","FILING_STATUS=MR","SCALING_FORMAT=MLN","Sort=A","Dates=H","DateFormat=P","Fill=—","Direction=H","UseDPDF=Y")</f>
        <v>24.818999999999999</v>
      </c>
      <c r="X16" s="13">
        <f>_xll.BDH("ALNY US Equity","INVTRY_FINISHED_GOODS","FQ2 2024","FQ2 2024","Currency=USD","Period=FQ","BEST_FPERIOD_OVERRIDE=FQ","FILING_STATUS=MR","SCALING_FORMAT=MLN","Sort=A","Dates=H","DateFormat=P","Fill=—","Direction=H","UseDPDF=Y")</f>
        <v>27.855</v>
      </c>
      <c r="Y16" s="13">
        <f>_xll.BDH("ALNY US Equity","INVTRY_FINISHED_GOODS","FQ3 2024","FQ3 2024","Currency=USD","Period=FQ","BEST_FPERIOD_OVERRIDE=FQ","FILING_STATUS=MR","SCALING_FORMAT=MLN","Sort=A","Dates=H","DateFormat=P","Fill=—","Direction=H","UseDPDF=Y")</f>
        <v>23.126000000000001</v>
      </c>
      <c r="Z16" s="13">
        <f>_xll.BDH("ALNY US Equity","INVTRY_FINISHED_GOODS","FQ4 2024","FQ4 2024","Currency=USD","Period=FQ","BEST_FPERIOD_OVERRIDE=FQ","FILING_STATUS=MR","SCALING_FORMAT=MLN","Sort=A","Dates=H","DateFormat=P","Fill=—","Direction=H","UseDPDF=Y")</f>
        <v>26.433</v>
      </c>
    </row>
    <row r="17" spans="1:26" x14ac:dyDescent="0.25">
      <c r="A17" s="10" t="s">
        <v>195</v>
      </c>
      <c r="B17" s="10" t="s">
        <v>196</v>
      </c>
      <c r="C17" s="13">
        <f>_xll.BDH("ALNY US Equity","BS_OTHER_INV","FQ1 2019","FQ1 2019","Currency=USD","Period=FQ","BEST_FPERIOD_OVERRIDE=FQ","FILING_STATUS=MR","SCALING_FORMAT=MLN","Sort=A","Dates=H","DateFormat=P","Fill=—","Direction=H","UseDPDF=Y")</f>
        <v>0</v>
      </c>
      <c r="D17" s="13">
        <f>_xll.BDH("ALNY US Equity","BS_OTHER_INV","FQ2 2019","FQ2 2019","Currency=USD","Period=FQ","BEST_FPERIOD_OVERRIDE=FQ","FILING_STATUS=MR","SCALING_FORMAT=MLN","Sort=A","Dates=H","DateFormat=P","Fill=—","Direction=H","UseDPDF=Y")</f>
        <v>0</v>
      </c>
      <c r="E17" s="13">
        <f>_xll.BDH("ALNY US Equity","BS_OTHER_INV","FQ3 2019","FQ3 2019","Currency=USD","Period=FQ","BEST_FPERIOD_OVERRIDE=FQ","FILING_STATUS=MR","SCALING_FORMAT=MLN","Sort=A","Dates=H","DateFormat=P","Fill=—","Direction=H","UseDPDF=Y")</f>
        <v>0</v>
      </c>
      <c r="F17" s="13">
        <f>_xll.BDH("ALNY US Equity","BS_OTHER_INV","FQ4 2019","FQ4 2019","Currency=USD","Period=FQ","BEST_FPERIOD_OVERRIDE=FQ","FILING_STATUS=MR","SCALING_FORMAT=MLN","Sort=A","Dates=H","DateFormat=P","Fill=—","Direction=H","UseDPDF=Y")</f>
        <v>0</v>
      </c>
      <c r="G17" s="13">
        <f>_xll.BDH("ALNY US Equity","BS_OTHER_INV","FQ1 2020","FQ1 2020","Currency=USD","Period=FQ","BEST_FPERIOD_OVERRIDE=FQ","FILING_STATUS=MR","SCALING_FORMAT=MLN","Sort=A","Dates=H","DateFormat=P","Fill=—","Direction=H","UseDPDF=Y")</f>
        <v>0</v>
      </c>
      <c r="H17" s="13">
        <f>_xll.BDH("ALNY US Equity","BS_OTHER_INV","FQ2 2020","FQ2 2020","Currency=USD","Period=FQ","BEST_FPERIOD_OVERRIDE=FQ","FILING_STATUS=MR","SCALING_FORMAT=MLN","Sort=A","Dates=H","DateFormat=P","Fill=—","Direction=H","UseDPDF=Y")</f>
        <v>0</v>
      </c>
      <c r="I17" s="13">
        <f>_xll.BDH("ALNY US Equity","BS_OTHER_INV","FQ3 2020","FQ3 2020","Currency=USD","Period=FQ","BEST_FPERIOD_OVERRIDE=FQ","FILING_STATUS=MR","SCALING_FORMAT=MLN","Sort=A","Dates=H","DateFormat=P","Fill=—","Direction=H","UseDPDF=Y")</f>
        <v>0</v>
      </c>
      <c r="J17" s="13">
        <f>_xll.BDH("ALNY US Equity","BS_OTHER_INV","FQ4 2020","FQ4 2020","Currency=USD","Period=FQ","BEST_FPERIOD_OVERRIDE=FQ","FILING_STATUS=MR","SCALING_FORMAT=MLN","Sort=A","Dates=H","DateFormat=P","Fill=—","Direction=H","UseDPDF=Y")</f>
        <v>0</v>
      </c>
      <c r="K17" s="13">
        <f>_xll.BDH("ALNY US Equity","BS_OTHER_INV","FQ1 2021","FQ1 2021","Currency=USD","Period=FQ","BEST_FPERIOD_OVERRIDE=FQ","FILING_STATUS=MR","SCALING_FORMAT=MLN","Sort=A","Dates=H","DateFormat=P","Fill=—","Direction=H","UseDPDF=Y")</f>
        <v>-17.100000000000001</v>
      </c>
      <c r="L17" s="13">
        <f>_xll.BDH("ALNY US Equity","BS_OTHER_INV","FQ2 2021","FQ2 2021","Currency=USD","Period=FQ","BEST_FPERIOD_OVERRIDE=FQ","FILING_STATUS=MR","SCALING_FORMAT=MLN","Sort=A","Dates=H","DateFormat=P","Fill=—","Direction=H","UseDPDF=Y")</f>
        <v>-11.75</v>
      </c>
      <c r="M17" s="13">
        <f>_xll.BDH("ALNY US Equity","BS_OTHER_INV","FQ3 2021","FQ3 2021","Currency=USD","Period=FQ","BEST_FPERIOD_OVERRIDE=FQ","FILING_STATUS=MR","SCALING_FORMAT=MLN","Sort=A","Dates=H","DateFormat=P","Fill=—","Direction=H","UseDPDF=Y")</f>
        <v>-13.05</v>
      </c>
      <c r="N17" s="13">
        <f>_xll.BDH("ALNY US Equity","BS_OTHER_INV","FQ4 2021","FQ4 2021","Currency=USD","Period=FQ","BEST_FPERIOD_OVERRIDE=FQ","FILING_STATUS=MR","SCALING_FORMAT=MLN","Sort=A","Dates=H","DateFormat=P","Fill=—","Direction=H","UseDPDF=Y")</f>
        <v>0</v>
      </c>
      <c r="O17" s="13">
        <f>_xll.BDH("ALNY US Equity","BS_OTHER_INV","FQ1 2022","FQ1 2022","Currency=USD","Period=FQ","BEST_FPERIOD_OVERRIDE=FQ","FILING_STATUS=MR","SCALING_FORMAT=MLN","Sort=A","Dates=H","DateFormat=P","Fill=—","Direction=H","UseDPDF=Y")</f>
        <v>-43.545999999999999</v>
      </c>
      <c r="P17" s="13">
        <f>_xll.BDH("ALNY US Equity","BS_OTHER_INV","FQ2 2022","FQ2 2022","Currency=USD","Period=FQ","BEST_FPERIOD_OVERRIDE=FQ","FILING_STATUS=MR","SCALING_FORMAT=MLN","Sort=A","Dates=H","DateFormat=P","Fill=—","Direction=H","UseDPDF=Y")</f>
        <v>-43.546999999999997</v>
      </c>
      <c r="Q17" s="13">
        <f>_xll.BDH("ALNY US Equity","BS_OTHER_INV","FQ3 2022","FQ3 2022","Currency=USD","Period=FQ","BEST_FPERIOD_OVERRIDE=FQ","FILING_STATUS=MR","SCALING_FORMAT=MLN","Sort=A","Dates=H","DateFormat=P","Fill=—","Direction=H","UseDPDF=Y")</f>
        <v>-26.158999999999999</v>
      </c>
      <c r="R17" s="13">
        <f>_xll.BDH("ALNY US Equity","BS_OTHER_INV","FQ4 2022","FQ4 2022","Currency=USD","Period=FQ","BEST_FPERIOD_OVERRIDE=FQ","FILING_STATUS=MR","SCALING_FORMAT=MLN","Sort=A","Dates=H","DateFormat=P","Fill=—","Direction=H","UseDPDF=Y")</f>
        <v>-32.741999999999997</v>
      </c>
      <c r="S17" s="13">
        <f>_xll.BDH("ALNY US Equity","BS_OTHER_INV","FQ1 2023","FQ1 2023","Currency=USD","Period=FQ","BEST_FPERIOD_OVERRIDE=FQ","FILING_STATUS=MR","SCALING_FORMAT=MLN","Sort=A","Dates=H","DateFormat=P","Fill=—","Direction=H","UseDPDF=Y")</f>
        <v>-31.506</v>
      </c>
      <c r="T17" s="13">
        <f>_xll.BDH("ALNY US Equity","BS_OTHER_INV","FQ2 2023","FQ2 2023","Currency=USD","Period=FQ","BEST_FPERIOD_OVERRIDE=FQ","FILING_STATUS=MR","SCALING_FORMAT=MLN","Sort=A","Dates=H","DateFormat=P","Fill=—","Direction=H","UseDPDF=Y")</f>
        <v>-62.161999999999999</v>
      </c>
      <c r="U17" s="13">
        <f>_xll.BDH("ALNY US Equity","BS_OTHER_INV","FQ3 2023","FQ3 2023","Currency=USD","Period=FQ","BEST_FPERIOD_OVERRIDE=FQ","FILING_STATUS=MR","SCALING_FORMAT=MLN","Sort=A","Dates=H","DateFormat=P","Fill=—","Direction=H","UseDPDF=Y")</f>
        <v>-40.698999999999998</v>
      </c>
      <c r="V17" s="13">
        <f>_xll.BDH("ALNY US Equity","BS_OTHER_INV","FQ4 2023","FQ4 2023","Currency=USD","Period=FQ","BEST_FPERIOD_OVERRIDE=FQ","FILING_STATUS=MR","SCALING_FORMAT=MLN","Sort=A","Dates=H","DateFormat=P","Fill=—","Direction=H","UseDPDF=Y")</f>
        <v>-36.286000000000001</v>
      </c>
      <c r="W17" s="13">
        <f>_xll.BDH("ALNY US Equity","BS_OTHER_INV","FQ1 2024","FQ1 2024","Currency=USD","Period=FQ","BEST_FPERIOD_OVERRIDE=FQ","FILING_STATUS=MR","SCALING_FORMAT=MLN","Sort=A","Dates=H","DateFormat=P","Fill=—","Direction=H","UseDPDF=Y")</f>
        <v>-32.302999999999997</v>
      </c>
      <c r="X17" s="13">
        <f>_xll.BDH("ALNY US Equity","BS_OTHER_INV","FQ2 2024","FQ2 2024","Currency=USD","Period=FQ","BEST_FPERIOD_OVERRIDE=FQ","FILING_STATUS=MR","SCALING_FORMAT=MLN","Sort=A","Dates=H","DateFormat=P","Fill=—","Direction=H","UseDPDF=Y")</f>
        <v>-36.43</v>
      </c>
      <c r="Y17" s="13">
        <f>_xll.BDH("ALNY US Equity","BS_OTHER_INV","FQ3 2024","FQ3 2024","Currency=USD","Period=FQ","BEST_FPERIOD_OVERRIDE=FQ","FILING_STATUS=MR","SCALING_FORMAT=MLN","Sort=A","Dates=H","DateFormat=P","Fill=—","Direction=H","UseDPDF=Y")</f>
        <v>-39.369</v>
      </c>
      <c r="Z17" s="13">
        <f>_xll.BDH("ALNY US Equity","BS_OTHER_INV","FQ4 2024","FQ4 2024","Currency=USD","Period=FQ","BEST_FPERIOD_OVERRIDE=FQ","FILING_STATUS=MR","SCALING_FORMAT=MLN","Sort=A","Dates=H","DateFormat=P","Fill=—","Direction=H","UseDPDF=Y")</f>
        <v>-36.866999999999997</v>
      </c>
    </row>
    <row r="18" spans="1:26" x14ac:dyDescent="0.25">
      <c r="A18" s="10" t="s">
        <v>197</v>
      </c>
      <c r="B18" s="10" t="s">
        <v>198</v>
      </c>
      <c r="C18" s="13">
        <f>_xll.BDH("ALNY US Equity","OTHER_CURRENT_ASSETS_DETAILED","FQ1 2019","FQ1 2019","Currency=USD","Period=FQ","BEST_FPERIOD_OVERRIDE=FQ","FILING_STATUS=MR","SCALING_FORMAT=MLN","Sort=A","Dates=H","DateFormat=P","Fill=—","Direction=H","UseDPDF=Y")</f>
        <v>81.674000000000007</v>
      </c>
      <c r="D18" s="13">
        <f>_xll.BDH("ALNY US Equity","OTHER_CURRENT_ASSETS_DETAILED","FQ2 2019","FQ2 2019","Currency=USD","Period=FQ","BEST_FPERIOD_OVERRIDE=FQ","FILING_STATUS=MR","SCALING_FORMAT=MLN","Sort=A","Dates=H","DateFormat=P","Fill=—","Direction=H","UseDPDF=Y")</f>
        <v>65.616</v>
      </c>
      <c r="E18" s="13">
        <f>_xll.BDH("ALNY US Equity","OTHER_CURRENT_ASSETS_DETAILED","FQ3 2019","FQ3 2019","Currency=USD","Period=FQ","BEST_FPERIOD_OVERRIDE=FQ","FILING_STATUS=MR","SCALING_FORMAT=MLN","Sort=A","Dates=H","DateFormat=P","Fill=—","Direction=H","UseDPDF=Y")</f>
        <v>73.536000000000001</v>
      </c>
      <c r="F18" s="13">
        <f>_xll.BDH("ALNY US Equity","OTHER_CURRENT_ASSETS_DETAILED","FQ4 2019","FQ4 2019","Currency=USD","Period=FQ","BEST_FPERIOD_OVERRIDE=FQ","FILING_STATUS=MR","SCALING_FORMAT=MLN","Sort=A","Dates=H","DateFormat=P","Fill=—","Direction=H","UseDPDF=Y")</f>
        <v>80.343000000000004</v>
      </c>
      <c r="G18" s="13">
        <f>_xll.BDH("ALNY US Equity","OTHER_CURRENT_ASSETS_DETAILED","FQ1 2020","FQ1 2020","Currency=USD","Period=FQ","BEST_FPERIOD_OVERRIDE=FQ","FILING_STATUS=MR","SCALING_FORMAT=MLN","Sort=A","Dates=H","DateFormat=P","Fill=—","Direction=H","UseDPDF=Y")</f>
        <v>98.697999999999993</v>
      </c>
      <c r="H18" s="13">
        <f>_xll.BDH("ALNY US Equity","OTHER_CURRENT_ASSETS_DETAILED","FQ2 2020","FQ2 2020","Currency=USD","Period=FQ","BEST_FPERIOD_OVERRIDE=FQ","FILING_STATUS=MR","SCALING_FORMAT=MLN","Sort=A","Dates=H","DateFormat=P","Fill=—","Direction=H","UseDPDF=Y")</f>
        <v>88.349000000000004</v>
      </c>
      <c r="I18" s="13">
        <f>_xll.BDH("ALNY US Equity","OTHER_CURRENT_ASSETS_DETAILED","FQ3 2020","FQ3 2020","Currency=USD","Period=FQ","BEST_FPERIOD_OVERRIDE=FQ","FILING_STATUS=MR","SCALING_FORMAT=MLN","Sort=A","Dates=H","DateFormat=P","Fill=—","Direction=H","UseDPDF=Y")</f>
        <v>574.76599999999996</v>
      </c>
      <c r="J18" s="13">
        <f>_xll.BDH("ALNY US Equity","OTHER_CURRENT_ASSETS_DETAILED","FQ4 2020","FQ4 2020","Currency=USD","Period=FQ","BEST_FPERIOD_OVERRIDE=FQ","FILING_STATUS=MR","SCALING_FORMAT=MLN","Sort=A","Dates=H","DateFormat=P","Fill=—","Direction=H","UseDPDF=Y")</f>
        <v>562.76700000000005</v>
      </c>
      <c r="K18" s="13">
        <f>_xll.BDH("ALNY US Equity","OTHER_CURRENT_ASSETS_DETAILED","FQ1 2021","FQ1 2021","Currency=USD","Period=FQ","BEST_FPERIOD_OVERRIDE=FQ","FILING_STATUS=MR","SCALING_FORMAT=MLN","Sort=A","Dates=H","DateFormat=P","Fill=—","Direction=H","UseDPDF=Y")</f>
        <v>575.98</v>
      </c>
      <c r="L18" s="13">
        <f>_xll.BDH("ALNY US Equity","OTHER_CURRENT_ASSETS_DETAILED","FQ2 2021","FQ2 2021","Currency=USD","Period=FQ","BEST_FPERIOD_OVERRIDE=FQ","FILING_STATUS=MR","SCALING_FORMAT=MLN","Sort=A","Dates=H","DateFormat=P","Fill=—","Direction=H","UseDPDF=Y")</f>
        <v>594.13599999999997</v>
      </c>
      <c r="M18" s="13">
        <f>_xll.BDH("ALNY US Equity","OTHER_CURRENT_ASSETS_DETAILED","FQ3 2021","FQ3 2021","Currency=USD","Period=FQ","BEST_FPERIOD_OVERRIDE=FQ","FILING_STATUS=MR","SCALING_FORMAT=MLN","Sort=A","Dates=H","DateFormat=P","Fill=—","Direction=H","UseDPDF=Y")</f>
        <v>108.53400000000001</v>
      </c>
      <c r="N18" s="13">
        <f>_xll.BDH("ALNY US Equity","OTHER_CURRENT_ASSETS_DETAILED","FQ4 2021","FQ4 2021","Currency=USD","Period=FQ","BEST_FPERIOD_OVERRIDE=FQ","FILING_STATUS=MR","SCALING_FORMAT=MLN","Sort=A","Dates=H","DateFormat=P","Fill=—","Direction=H","UseDPDF=Y")</f>
        <v>88.078000000000003</v>
      </c>
      <c r="O18" s="13">
        <f>_xll.BDH("ALNY US Equity","OTHER_CURRENT_ASSETS_DETAILED","FQ1 2022","FQ1 2022","Currency=USD","Period=FQ","BEST_FPERIOD_OVERRIDE=FQ","FILING_STATUS=MR","SCALING_FORMAT=MLN","Sort=A","Dates=H","DateFormat=P","Fill=—","Direction=H","UseDPDF=Y")</f>
        <v>115.065</v>
      </c>
      <c r="P18" s="13">
        <f>_xll.BDH("ALNY US Equity","OTHER_CURRENT_ASSETS_DETAILED","FQ2 2022","FQ2 2022","Currency=USD","Period=FQ","BEST_FPERIOD_OVERRIDE=FQ","FILING_STATUS=MR","SCALING_FORMAT=MLN","Sort=A","Dates=H","DateFormat=P","Fill=—","Direction=H","UseDPDF=Y")</f>
        <v>129.77799999999999</v>
      </c>
      <c r="Q18" s="13">
        <f>_xll.BDH("ALNY US Equity","OTHER_CURRENT_ASSETS_DETAILED","FQ3 2022","FQ3 2022","Currency=USD","Period=FQ","BEST_FPERIOD_OVERRIDE=FQ","FILING_STATUS=MR","SCALING_FORMAT=MLN","Sort=A","Dates=H","DateFormat=P","Fill=—","Direction=H","UseDPDF=Y")</f>
        <v>125.51600000000001</v>
      </c>
      <c r="R18" s="13">
        <f>_xll.BDH("ALNY US Equity","OTHER_CURRENT_ASSETS_DETAILED","FQ4 2022","FQ4 2022","Currency=USD","Period=FQ","BEST_FPERIOD_OVERRIDE=FQ","FILING_STATUS=MR","SCALING_FORMAT=MLN","Sort=A","Dates=H","DateFormat=P","Fill=—","Direction=H","UseDPDF=Y")</f>
        <v>132.916</v>
      </c>
      <c r="S18" s="13">
        <f>_xll.BDH("ALNY US Equity","OTHER_CURRENT_ASSETS_DETAILED","FQ1 2023","FQ1 2023","Currency=USD","Period=FQ","BEST_FPERIOD_OVERRIDE=FQ","FILING_STATUS=MR","SCALING_FORMAT=MLN","Sort=A","Dates=H","DateFormat=P","Fill=—","Direction=H","UseDPDF=Y")</f>
        <v>119.03</v>
      </c>
      <c r="T18" s="13">
        <f>_xll.BDH("ALNY US Equity","OTHER_CURRENT_ASSETS_DETAILED","FQ2 2023","FQ2 2023","Currency=USD","Period=FQ","BEST_FPERIOD_OVERRIDE=FQ","FILING_STATUS=MR","SCALING_FORMAT=MLN","Sort=A","Dates=H","DateFormat=P","Fill=—","Direction=H","UseDPDF=Y")</f>
        <v>145.452</v>
      </c>
      <c r="U18" s="13">
        <f>_xll.BDH("ALNY US Equity","OTHER_CURRENT_ASSETS_DETAILED","FQ3 2023","FQ3 2023","Currency=USD","Period=FQ","BEST_FPERIOD_OVERRIDE=FQ","FILING_STATUS=MR","SCALING_FORMAT=MLN","Sort=A","Dates=H","DateFormat=P","Fill=—","Direction=H","UseDPDF=Y")</f>
        <v>157.958</v>
      </c>
      <c r="V18" s="13">
        <f>_xll.BDH("ALNY US Equity","OTHER_CURRENT_ASSETS_DETAILED","FQ4 2023","FQ4 2023","Currency=USD","Period=FQ","BEST_FPERIOD_OVERRIDE=FQ","FILING_STATUS=MR","SCALING_FORMAT=MLN","Sort=A","Dates=H","DateFormat=P","Fill=—","Direction=H","UseDPDF=Y")</f>
        <v>126.38200000000001</v>
      </c>
      <c r="W18" s="13">
        <f>_xll.BDH("ALNY US Equity","OTHER_CURRENT_ASSETS_DETAILED","FQ1 2024","FQ1 2024","Currency=USD","Period=FQ","BEST_FPERIOD_OVERRIDE=FQ","FILING_STATUS=MR","SCALING_FORMAT=MLN","Sort=A","Dates=H","DateFormat=P","Fill=—","Direction=H","UseDPDF=Y")</f>
        <v>201.96</v>
      </c>
      <c r="X18" s="13">
        <f>_xll.BDH("ALNY US Equity","OTHER_CURRENT_ASSETS_DETAILED","FQ2 2024","FQ2 2024","Currency=USD","Period=FQ","BEST_FPERIOD_OVERRIDE=FQ","FILING_STATUS=MR","SCALING_FORMAT=MLN","Sort=A","Dates=H","DateFormat=P","Fill=—","Direction=H","UseDPDF=Y")</f>
        <v>154.745</v>
      </c>
      <c r="Y18" s="13">
        <f>_xll.BDH("ALNY US Equity","OTHER_CURRENT_ASSETS_DETAILED","FQ3 2024","FQ3 2024","Currency=USD","Period=FQ","BEST_FPERIOD_OVERRIDE=FQ","FILING_STATUS=MR","SCALING_FORMAT=MLN","Sort=A","Dates=H","DateFormat=P","Fill=—","Direction=H","UseDPDF=Y")</f>
        <v>145.35</v>
      </c>
      <c r="Z18" s="13">
        <f>_xll.BDH("ALNY US Equity","OTHER_CURRENT_ASSETS_DETAILED","FQ4 2024","FQ4 2024","Currency=USD","Period=FQ","BEST_FPERIOD_OVERRIDE=FQ","FILING_STATUS=MR","SCALING_FORMAT=MLN","Sort=A","Dates=H","DateFormat=P","Fill=—","Direction=H","UseDPDF=Y")</f>
        <v>116.964</v>
      </c>
    </row>
    <row r="19" spans="1:26" x14ac:dyDescent="0.25">
      <c r="A19" s="10" t="s">
        <v>199</v>
      </c>
      <c r="B19" s="10" t="s">
        <v>200</v>
      </c>
      <c r="C19" s="13" t="str">
        <f>_xll.BDH("ALNY US Equity","BS_DERIV_HEDGING_ASST_ST","FQ1 2019","FQ1 2019","Currency=USD","Period=FQ","BEST_FPERIOD_OVERRIDE=FQ","FILING_STATUS=MR","SCALING_FORMAT=MLN","Sort=A","Dates=H","DateFormat=P","Fill=—","Direction=H","UseDPDF=Y")</f>
        <v>—</v>
      </c>
      <c r="D19" s="13" t="str">
        <f>_xll.BDH("ALNY US Equity","BS_DERIV_HEDGING_ASST_ST","FQ2 2019","FQ2 2019","Currency=USD","Period=FQ","BEST_FPERIOD_OVERRIDE=FQ","FILING_STATUS=MR","SCALING_FORMAT=MLN","Sort=A","Dates=H","DateFormat=P","Fill=—","Direction=H","UseDPDF=Y")</f>
        <v>—</v>
      </c>
      <c r="E19" s="13" t="str">
        <f>_xll.BDH("ALNY US Equity","BS_DERIV_HEDGING_ASST_ST","FQ3 2019","FQ3 2019","Currency=USD","Period=FQ","BEST_FPERIOD_OVERRIDE=FQ","FILING_STATUS=MR","SCALING_FORMAT=MLN","Sort=A","Dates=H","DateFormat=P","Fill=—","Direction=H","UseDPDF=Y")</f>
        <v>—</v>
      </c>
      <c r="F19" s="13">
        <f>_xll.BDH("ALNY US Equity","BS_DERIV_HEDGING_ASST_ST","FQ4 2019","FQ4 2019","Currency=USD","Period=FQ","BEST_FPERIOD_OVERRIDE=FQ","FILING_STATUS=MR","SCALING_FORMAT=MLN","Sort=A","Dates=H","DateFormat=P","Fill=—","Direction=H","UseDPDF=Y")</f>
        <v>0</v>
      </c>
      <c r="G19" s="13" t="str">
        <f>_xll.BDH("ALNY US Equity","BS_DERIV_HEDGING_ASST_ST","FQ1 2020","FQ1 2020","Currency=USD","Period=FQ","BEST_FPERIOD_OVERRIDE=FQ","FILING_STATUS=MR","SCALING_FORMAT=MLN","Sort=A","Dates=H","DateFormat=P","Fill=—","Direction=H","UseDPDF=Y")</f>
        <v>—</v>
      </c>
      <c r="H19" s="13" t="str">
        <f>_xll.BDH("ALNY US Equity","BS_DERIV_HEDGING_ASST_ST","FQ2 2020","FQ2 2020","Currency=USD","Period=FQ","BEST_FPERIOD_OVERRIDE=FQ","FILING_STATUS=MR","SCALING_FORMAT=MLN","Sort=A","Dates=H","DateFormat=P","Fill=—","Direction=H","UseDPDF=Y")</f>
        <v>—</v>
      </c>
      <c r="I19" s="13" t="str">
        <f>_xll.BDH("ALNY US Equity","BS_DERIV_HEDGING_ASST_ST","FQ3 2020","FQ3 2020","Currency=USD","Period=FQ","BEST_FPERIOD_OVERRIDE=FQ","FILING_STATUS=MR","SCALING_FORMAT=MLN","Sort=A","Dates=H","DateFormat=P","Fill=—","Direction=H","UseDPDF=Y")</f>
        <v>—</v>
      </c>
      <c r="J19" s="13">
        <f>_xll.BDH("ALNY US Equity","BS_DERIV_HEDGING_ASST_ST","FQ4 2020","FQ4 2020","Currency=USD","Period=FQ","BEST_FPERIOD_OVERRIDE=FQ","FILING_STATUS=MR","SCALING_FORMAT=MLN","Sort=A","Dates=H","DateFormat=P","Fill=—","Direction=H","UseDPDF=Y")</f>
        <v>0</v>
      </c>
      <c r="K19" s="13" t="str">
        <f>_xll.BDH("ALNY US Equity","BS_DERIV_HEDGING_ASST_ST","FQ1 2021","FQ1 2021","Currency=USD","Period=FQ","BEST_FPERIOD_OVERRIDE=FQ","FILING_STATUS=MR","SCALING_FORMAT=MLN","Sort=A","Dates=H","DateFormat=P","Fill=—","Direction=H","UseDPDF=Y")</f>
        <v>—</v>
      </c>
      <c r="L19" s="13" t="str">
        <f>_xll.BDH("ALNY US Equity","BS_DERIV_HEDGING_ASST_ST","FQ2 2021","FQ2 2021","Currency=USD","Period=FQ","BEST_FPERIOD_OVERRIDE=FQ","FILING_STATUS=MR","SCALING_FORMAT=MLN","Sort=A","Dates=H","DateFormat=P","Fill=—","Direction=H","UseDPDF=Y")</f>
        <v>—</v>
      </c>
      <c r="M19" s="13" t="str">
        <f>_xll.BDH("ALNY US Equity","BS_DERIV_HEDGING_ASST_ST","FQ3 2021","FQ3 2021","Currency=USD","Period=FQ","BEST_FPERIOD_OVERRIDE=FQ","FILING_STATUS=MR","SCALING_FORMAT=MLN","Sort=A","Dates=H","DateFormat=P","Fill=—","Direction=H","UseDPDF=Y")</f>
        <v>—</v>
      </c>
      <c r="N19" s="13">
        <f>_xll.BDH("ALNY US Equity","BS_DERIV_HEDGING_ASST_ST","FQ4 2021","FQ4 2021","Currency=USD","Period=FQ","BEST_FPERIOD_OVERRIDE=FQ","FILING_STATUS=MR","SCALING_FORMAT=MLN","Sort=A","Dates=H","DateFormat=P","Fill=—","Direction=H","UseDPDF=Y")</f>
        <v>0</v>
      </c>
      <c r="O19" s="13" t="str">
        <f>_xll.BDH("ALNY US Equity","BS_DERIV_HEDGING_ASST_ST","FQ1 2022","FQ1 2022","Currency=USD","Period=FQ","BEST_FPERIOD_OVERRIDE=FQ","FILING_STATUS=MR","SCALING_FORMAT=MLN","Sort=A","Dates=H","DateFormat=P","Fill=—","Direction=H","UseDPDF=Y")</f>
        <v>—</v>
      </c>
      <c r="P19" s="13" t="str">
        <f>_xll.BDH("ALNY US Equity","BS_DERIV_HEDGING_ASST_ST","FQ2 2022","FQ2 2022","Currency=USD","Period=FQ","BEST_FPERIOD_OVERRIDE=FQ","FILING_STATUS=MR","SCALING_FORMAT=MLN","Sort=A","Dates=H","DateFormat=P","Fill=—","Direction=H","UseDPDF=Y")</f>
        <v>—</v>
      </c>
      <c r="Q19" s="13" t="str">
        <f>_xll.BDH("ALNY US Equity","BS_DERIV_HEDGING_ASST_ST","FQ3 2022","FQ3 2022","Currency=USD","Period=FQ","BEST_FPERIOD_OVERRIDE=FQ","FILING_STATUS=MR","SCALING_FORMAT=MLN","Sort=A","Dates=H","DateFormat=P","Fill=—","Direction=H","UseDPDF=Y")</f>
        <v>—</v>
      </c>
      <c r="R19" s="13">
        <f>_xll.BDH("ALNY US Equity","BS_DERIV_HEDGING_ASST_ST","FQ4 2022","FQ4 2022","Currency=USD","Period=FQ","BEST_FPERIOD_OVERRIDE=FQ","FILING_STATUS=MR","SCALING_FORMAT=MLN","Sort=A","Dates=H","DateFormat=P","Fill=—","Direction=H","UseDPDF=Y")</f>
        <v>0</v>
      </c>
      <c r="S19" s="13" t="str">
        <f>_xll.BDH("ALNY US Equity","BS_DERIV_HEDGING_ASST_ST","FQ1 2023","FQ1 2023","Currency=USD","Period=FQ","BEST_FPERIOD_OVERRIDE=FQ","FILING_STATUS=MR","SCALING_FORMAT=MLN","Sort=A","Dates=H","DateFormat=P","Fill=—","Direction=H","UseDPDF=Y")</f>
        <v>—</v>
      </c>
      <c r="T19" s="13" t="str">
        <f>_xll.BDH("ALNY US Equity","BS_DERIV_HEDGING_ASST_ST","FQ2 2023","FQ2 2023","Currency=USD","Period=FQ","BEST_FPERIOD_OVERRIDE=FQ","FILING_STATUS=MR","SCALING_FORMAT=MLN","Sort=A","Dates=H","DateFormat=P","Fill=—","Direction=H","UseDPDF=Y")</f>
        <v>—</v>
      </c>
      <c r="U19" s="13" t="str">
        <f>_xll.BDH("ALNY US Equity","BS_DERIV_HEDGING_ASST_ST","FQ3 2023","FQ3 2023","Currency=USD","Period=FQ","BEST_FPERIOD_OVERRIDE=FQ","FILING_STATUS=MR","SCALING_FORMAT=MLN","Sort=A","Dates=H","DateFormat=P","Fill=—","Direction=H","UseDPDF=Y")</f>
        <v>—</v>
      </c>
      <c r="V19" s="13">
        <f>_xll.BDH("ALNY US Equity","BS_DERIV_HEDGING_ASST_ST","FQ4 2023","FQ4 2023","Currency=USD","Period=FQ","BEST_FPERIOD_OVERRIDE=FQ","FILING_STATUS=MR","SCALING_FORMAT=MLN","Sort=A","Dates=H","DateFormat=P","Fill=—","Direction=H","UseDPDF=Y")</f>
        <v>0</v>
      </c>
      <c r="W19" s="13" t="str">
        <f>_xll.BDH("ALNY US Equity","BS_DERIV_HEDGING_ASST_ST","FQ1 2024","FQ1 2024","Currency=USD","Period=FQ","BEST_FPERIOD_OVERRIDE=FQ","FILING_STATUS=MR","SCALING_FORMAT=MLN","Sort=A","Dates=H","DateFormat=P","Fill=—","Direction=H","UseDPDF=Y")</f>
        <v>—</v>
      </c>
      <c r="X19" s="13" t="str">
        <f>_xll.BDH("ALNY US Equity","BS_DERIV_HEDGING_ASST_ST","FQ2 2024","FQ2 2024","Currency=USD","Period=FQ","BEST_FPERIOD_OVERRIDE=FQ","FILING_STATUS=MR","SCALING_FORMAT=MLN","Sort=A","Dates=H","DateFormat=P","Fill=—","Direction=H","UseDPDF=Y")</f>
        <v>—</v>
      </c>
      <c r="Y19" s="13" t="str">
        <f>_xll.BDH("ALNY US Equity","BS_DERIV_HEDGING_ASST_ST","FQ3 2024","FQ3 2024","Currency=USD","Period=FQ","BEST_FPERIOD_OVERRIDE=FQ","FILING_STATUS=MR","SCALING_FORMAT=MLN","Sort=A","Dates=H","DateFormat=P","Fill=—","Direction=H","UseDPDF=Y")</f>
        <v>—</v>
      </c>
      <c r="Z19" s="13">
        <f>_xll.BDH("ALNY US Equity","BS_DERIV_HEDGING_ASST_ST","FQ4 2024","FQ4 2024","Currency=USD","Period=FQ","BEST_FPERIOD_OVERRIDE=FQ","FILING_STATUS=MR","SCALING_FORMAT=MLN","Sort=A","Dates=H","DateFormat=P","Fill=—","Direction=H","UseDPDF=Y")</f>
        <v>0</v>
      </c>
    </row>
    <row r="20" spans="1:26" x14ac:dyDescent="0.25">
      <c r="A20" s="10" t="s">
        <v>201</v>
      </c>
      <c r="B20" s="10" t="s">
        <v>202</v>
      </c>
      <c r="C20" s="13">
        <f>_xll.BDH("ALNY US Equity","BS_OTHER_CUR_ASSET_LESS_PREPAY","FQ1 2019","FQ1 2019","Currency=USD","Period=FQ","BEST_FPERIOD_OVERRIDE=FQ","FILING_STATUS=MR","SCALING_FORMAT=MLN","Sort=A","Dates=H","DateFormat=P","Fill=—","Direction=H","UseDPDF=Y")</f>
        <v>81.674000000000007</v>
      </c>
      <c r="D20" s="13">
        <f>_xll.BDH("ALNY US Equity","BS_OTHER_CUR_ASSET_LESS_PREPAY","FQ2 2019","FQ2 2019","Currency=USD","Period=FQ","BEST_FPERIOD_OVERRIDE=FQ","FILING_STATUS=MR","SCALING_FORMAT=MLN","Sort=A","Dates=H","DateFormat=P","Fill=—","Direction=H","UseDPDF=Y")</f>
        <v>65.616</v>
      </c>
      <c r="E20" s="13">
        <f>_xll.BDH("ALNY US Equity","BS_OTHER_CUR_ASSET_LESS_PREPAY","FQ3 2019","FQ3 2019","Currency=USD","Period=FQ","BEST_FPERIOD_OVERRIDE=FQ","FILING_STATUS=MR","SCALING_FORMAT=MLN","Sort=A","Dates=H","DateFormat=P","Fill=—","Direction=H","UseDPDF=Y")</f>
        <v>73.536000000000001</v>
      </c>
      <c r="F20" s="13">
        <f>_xll.BDH("ALNY US Equity","BS_OTHER_CUR_ASSET_LESS_PREPAY","FQ4 2019","FQ4 2019","Currency=USD","Period=FQ","BEST_FPERIOD_OVERRIDE=FQ","FILING_STATUS=MR","SCALING_FORMAT=MLN","Sort=A","Dates=H","DateFormat=P","Fill=—","Direction=H","UseDPDF=Y")</f>
        <v>80.343000000000004</v>
      </c>
      <c r="G20" s="13">
        <f>_xll.BDH("ALNY US Equity","BS_OTHER_CUR_ASSET_LESS_PREPAY","FQ1 2020","FQ1 2020","Currency=USD","Period=FQ","BEST_FPERIOD_OVERRIDE=FQ","FILING_STATUS=MR","SCALING_FORMAT=MLN","Sort=A","Dates=H","DateFormat=P","Fill=—","Direction=H","UseDPDF=Y")</f>
        <v>98.697999999999993</v>
      </c>
      <c r="H20" s="13">
        <f>_xll.BDH("ALNY US Equity","BS_OTHER_CUR_ASSET_LESS_PREPAY","FQ2 2020","FQ2 2020","Currency=USD","Period=FQ","BEST_FPERIOD_OVERRIDE=FQ","FILING_STATUS=MR","SCALING_FORMAT=MLN","Sort=A","Dates=H","DateFormat=P","Fill=—","Direction=H","UseDPDF=Y")</f>
        <v>88.349000000000004</v>
      </c>
      <c r="I20" s="13">
        <f>_xll.BDH("ALNY US Equity","BS_OTHER_CUR_ASSET_LESS_PREPAY","FQ3 2020","FQ3 2020","Currency=USD","Period=FQ","BEST_FPERIOD_OVERRIDE=FQ","FILING_STATUS=MR","SCALING_FORMAT=MLN","Sort=A","Dates=H","DateFormat=P","Fill=—","Direction=H","UseDPDF=Y")</f>
        <v>574.76599999999996</v>
      </c>
      <c r="J20" s="13">
        <f>_xll.BDH("ALNY US Equity","BS_OTHER_CUR_ASSET_LESS_PREPAY","FQ4 2020","FQ4 2020","Currency=USD","Period=FQ","BEST_FPERIOD_OVERRIDE=FQ","FILING_STATUS=MR","SCALING_FORMAT=MLN","Sort=A","Dates=H","DateFormat=P","Fill=—","Direction=H","UseDPDF=Y")</f>
        <v>562.76700000000005</v>
      </c>
      <c r="K20" s="13">
        <f>_xll.BDH("ALNY US Equity","BS_OTHER_CUR_ASSET_LESS_PREPAY","FQ1 2021","FQ1 2021","Currency=USD","Period=FQ","BEST_FPERIOD_OVERRIDE=FQ","FILING_STATUS=MR","SCALING_FORMAT=MLN","Sort=A","Dates=H","DateFormat=P","Fill=—","Direction=H","UseDPDF=Y")</f>
        <v>575.98</v>
      </c>
      <c r="L20" s="13">
        <f>_xll.BDH("ALNY US Equity","BS_OTHER_CUR_ASSET_LESS_PREPAY","FQ2 2021","FQ2 2021","Currency=USD","Period=FQ","BEST_FPERIOD_OVERRIDE=FQ","FILING_STATUS=MR","SCALING_FORMAT=MLN","Sort=A","Dates=H","DateFormat=P","Fill=—","Direction=H","UseDPDF=Y")</f>
        <v>594.13599999999997</v>
      </c>
      <c r="M20" s="13">
        <f>_xll.BDH("ALNY US Equity","BS_OTHER_CUR_ASSET_LESS_PREPAY","FQ3 2021","FQ3 2021","Currency=USD","Period=FQ","BEST_FPERIOD_OVERRIDE=FQ","FILING_STATUS=MR","SCALING_FORMAT=MLN","Sort=A","Dates=H","DateFormat=P","Fill=—","Direction=H","UseDPDF=Y")</f>
        <v>108.53400000000001</v>
      </c>
      <c r="N20" s="13">
        <f>_xll.BDH("ALNY US Equity","BS_OTHER_CUR_ASSET_LESS_PREPAY","FQ4 2021","FQ4 2021","Currency=USD","Period=FQ","BEST_FPERIOD_OVERRIDE=FQ","FILING_STATUS=MR","SCALING_FORMAT=MLN","Sort=A","Dates=H","DateFormat=P","Fill=—","Direction=H","UseDPDF=Y")</f>
        <v>88.078000000000003</v>
      </c>
      <c r="O20" s="13">
        <f>_xll.BDH("ALNY US Equity","BS_OTHER_CUR_ASSET_LESS_PREPAY","FQ1 2022","FQ1 2022","Currency=USD","Period=FQ","BEST_FPERIOD_OVERRIDE=FQ","FILING_STATUS=MR","SCALING_FORMAT=MLN","Sort=A","Dates=H","DateFormat=P","Fill=—","Direction=H","UseDPDF=Y")</f>
        <v>115.065</v>
      </c>
      <c r="P20" s="13">
        <f>_xll.BDH("ALNY US Equity","BS_OTHER_CUR_ASSET_LESS_PREPAY","FQ2 2022","FQ2 2022","Currency=USD","Period=FQ","BEST_FPERIOD_OVERRIDE=FQ","FILING_STATUS=MR","SCALING_FORMAT=MLN","Sort=A","Dates=H","DateFormat=P","Fill=—","Direction=H","UseDPDF=Y")</f>
        <v>129.77799999999999</v>
      </c>
      <c r="Q20" s="13">
        <f>_xll.BDH("ALNY US Equity","BS_OTHER_CUR_ASSET_LESS_PREPAY","FQ3 2022","FQ3 2022","Currency=USD","Period=FQ","BEST_FPERIOD_OVERRIDE=FQ","FILING_STATUS=MR","SCALING_FORMAT=MLN","Sort=A","Dates=H","DateFormat=P","Fill=—","Direction=H","UseDPDF=Y")</f>
        <v>125.51600000000001</v>
      </c>
      <c r="R20" s="13">
        <f>_xll.BDH("ALNY US Equity","BS_OTHER_CUR_ASSET_LESS_PREPAY","FQ4 2022","FQ4 2022","Currency=USD","Period=FQ","BEST_FPERIOD_OVERRIDE=FQ","FILING_STATUS=MR","SCALING_FORMAT=MLN","Sort=A","Dates=H","DateFormat=P","Fill=—","Direction=H","UseDPDF=Y")</f>
        <v>132.916</v>
      </c>
      <c r="S20" s="13">
        <f>_xll.BDH("ALNY US Equity","BS_OTHER_CUR_ASSET_LESS_PREPAY","FQ1 2023","FQ1 2023","Currency=USD","Period=FQ","BEST_FPERIOD_OVERRIDE=FQ","FILING_STATUS=MR","SCALING_FORMAT=MLN","Sort=A","Dates=H","DateFormat=P","Fill=—","Direction=H","UseDPDF=Y")</f>
        <v>119.03</v>
      </c>
      <c r="T20" s="13">
        <f>_xll.BDH("ALNY US Equity","BS_OTHER_CUR_ASSET_LESS_PREPAY","FQ2 2023","FQ2 2023","Currency=USD","Period=FQ","BEST_FPERIOD_OVERRIDE=FQ","FILING_STATUS=MR","SCALING_FORMAT=MLN","Sort=A","Dates=H","DateFormat=P","Fill=—","Direction=H","UseDPDF=Y")</f>
        <v>145.452</v>
      </c>
      <c r="U20" s="13">
        <f>_xll.BDH("ALNY US Equity","BS_OTHER_CUR_ASSET_LESS_PREPAY","FQ3 2023","FQ3 2023","Currency=USD","Period=FQ","BEST_FPERIOD_OVERRIDE=FQ","FILING_STATUS=MR","SCALING_FORMAT=MLN","Sort=A","Dates=H","DateFormat=P","Fill=—","Direction=H","UseDPDF=Y")</f>
        <v>157.958</v>
      </c>
      <c r="V20" s="13">
        <f>_xll.BDH("ALNY US Equity","BS_OTHER_CUR_ASSET_LESS_PREPAY","FQ4 2023","FQ4 2023","Currency=USD","Period=FQ","BEST_FPERIOD_OVERRIDE=FQ","FILING_STATUS=MR","SCALING_FORMAT=MLN","Sort=A","Dates=H","DateFormat=P","Fill=—","Direction=H","UseDPDF=Y")</f>
        <v>126.38200000000001</v>
      </c>
      <c r="W20" s="13">
        <f>_xll.BDH("ALNY US Equity","BS_OTHER_CUR_ASSET_LESS_PREPAY","FQ1 2024","FQ1 2024","Currency=USD","Period=FQ","BEST_FPERIOD_OVERRIDE=FQ","FILING_STATUS=MR","SCALING_FORMAT=MLN","Sort=A","Dates=H","DateFormat=P","Fill=—","Direction=H","UseDPDF=Y")</f>
        <v>201.96</v>
      </c>
      <c r="X20" s="13">
        <f>_xll.BDH("ALNY US Equity","BS_OTHER_CUR_ASSET_LESS_PREPAY","FQ2 2024","FQ2 2024","Currency=USD","Period=FQ","BEST_FPERIOD_OVERRIDE=FQ","FILING_STATUS=MR","SCALING_FORMAT=MLN","Sort=A","Dates=H","DateFormat=P","Fill=—","Direction=H","UseDPDF=Y")</f>
        <v>154.745</v>
      </c>
      <c r="Y20" s="13">
        <f>_xll.BDH("ALNY US Equity","BS_OTHER_CUR_ASSET_LESS_PREPAY","FQ3 2024","FQ3 2024","Currency=USD","Period=FQ","BEST_FPERIOD_OVERRIDE=FQ","FILING_STATUS=MR","SCALING_FORMAT=MLN","Sort=A","Dates=H","DateFormat=P","Fill=—","Direction=H","UseDPDF=Y")</f>
        <v>145.35</v>
      </c>
      <c r="Z20" s="13">
        <f>_xll.BDH("ALNY US Equity","BS_OTHER_CUR_ASSET_LESS_PREPAY","FQ4 2024","FQ4 2024","Currency=USD","Period=FQ","BEST_FPERIOD_OVERRIDE=FQ","FILING_STATUS=MR","SCALING_FORMAT=MLN","Sort=A","Dates=H","DateFormat=P","Fill=—","Direction=H","UseDPDF=Y")</f>
        <v>116.964</v>
      </c>
    </row>
    <row r="21" spans="1:26" x14ac:dyDescent="0.25">
      <c r="A21" s="6" t="s">
        <v>203</v>
      </c>
      <c r="B21" s="6" t="s">
        <v>204</v>
      </c>
      <c r="C21" s="16">
        <f>_xll.BDH("ALNY US Equity","BS_CUR_ASSET_REPORT","FQ1 2019","FQ1 2019","Currency=USD","Period=FQ","BEST_FPERIOD_OVERRIDE=FQ","FILING_STATUS=MR","SCALING_FORMAT=MLN","Sort=A","Dates=H","DateFormat=P","Fill=—","Direction=H","UseDPDF=Y")</f>
        <v>1392.0129999999999</v>
      </c>
      <c r="D21" s="16">
        <f>_xll.BDH("ALNY US Equity","BS_CUR_ASSET_REPORT","FQ2 2019","FQ2 2019","Currency=USD","Period=FQ","BEST_FPERIOD_OVERRIDE=FQ","FILING_STATUS=MR","SCALING_FORMAT=MLN","Sort=A","Dates=H","DateFormat=P","Fill=—","Direction=H","UseDPDF=Y")</f>
        <v>2063.7730000000001</v>
      </c>
      <c r="E21" s="16">
        <f>_xll.BDH("ALNY US Equity","BS_CUR_ASSET_REPORT","FQ3 2019","FQ3 2019","Currency=USD","Period=FQ","BEST_FPERIOD_OVERRIDE=FQ","FILING_STATUS=MR","SCALING_FORMAT=MLN","Sort=A","Dates=H","DateFormat=P","Fill=—","Direction=H","UseDPDF=Y")</f>
        <v>1897.2650000000001</v>
      </c>
      <c r="F21" s="16">
        <f>_xll.BDH("ALNY US Equity","BS_CUR_ASSET_REPORT","FQ4 2019","FQ4 2019","Currency=USD","Period=FQ","BEST_FPERIOD_OVERRIDE=FQ","FILING_STATUS=MR","SCALING_FORMAT=MLN","Sort=A","Dates=H","DateFormat=P","Fill=—","Direction=H","UseDPDF=Y")</f>
        <v>1715.864</v>
      </c>
      <c r="G21" s="16">
        <f>_xll.BDH("ALNY US Equity","BS_CUR_ASSET_REPORT","FQ1 2020","FQ1 2020","Currency=USD","Period=FQ","BEST_FPERIOD_OVERRIDE=FQ","FILING_STATUS=MR","SCALING_FORMAT=MLN","Sort=A","Dates=H","DateFormat=P","Fill=—","Direction=H","UseDPDF=Y")</f>
        <v>1584.7729999999999</v>
      </c>
      <c r="H21" s="16">
        <f>_xll.BDH("ALNY US Equity","BS_CUR_ASSET_REPORT","FQ2 2020","FQ2 2020","Currency=USD","Period=FQ","BEST_FPERIOD_OVERRIDE=FQ","FILING_STATUS=MR","SCALING_FORMAT=MLN","Sort=A","Dates=H","DateFormat=P","Fill=—","Direction=H","UseDPDF=Y")</f>
        <v>2160.4459999999999</v>
      </c>
      <c r="I21" s="16">
        <f>_xll.BDH("ALNY US Equity","BS_CUR_ASSET_REPORT","FQ3 2020","FQ3 2020","Currency=USD","Period=FQ","BEST_FPERIOD_OVERRIDE=FQ","FILING_STATUS=MR","SCALING_FORMAT=MLN","Sort=A","Dates=H","DateFormat=P","Fill=—","Direction=H","UseDPDF=Y")</f>
        <v>2554.7020000000002</v>
      </c>
      <c r="J21" s="16">
        <f>_xll.BDH("ALNY US Equity","BS_CUR_ASSET_REPORT","FQ4 2020","FQ4 2020","Currency=USD","Period=FQ","BEST_FPERIOD_OVERRIDE=FQ","FILING_STATUS=MR","SCALING_FORMAT=MLN","Sort=A","Dates=H","DateFormat=P","Fill=—","Direction=H","UseDPDF=Y")</f>
        <v>2614.777</v>
      </c>
      <c r="K21" s="16">
        <f>_xll.BDH("ALNY US Equity","BS_CUR_ASSET_REPORT","FQ1 2021","FQ1 2021","Currency=USD","Period=FQ","BEST_FPERIOD_OVERRIDE=FQ","FILING_STATUS=MR","SCALING_FORMAT=MLN","Sort=A","Dates=H","DateFormat=P","Fill=—","Direction=H","UseDPDF=Y")</f>
        <v>2470.0830000000001</v>
      </c>
      <c r="L21" s="16">
        <f>_xll.BDH("ALNY US Equity","BS_CUR_ASSET_REPORT","FQ2 2021","FQ2 2021","Currency=USD","Period=FQ","BEST_FPERIOD_OVERRIDE=FQ","FILING_STATUS=MR","SCALING_FORMAT=MLN","Sort=A","Dates=H","DateFormat=P","Fill=—","Direction=H","UseDPDF=Y")</f>
        <v>2725.163</v>
      </c>
      <c r="M21" s="16">
        <f>_xll.BDH("ALNY US Equity","BS_CUR_ASSET_REPORT","FQ3 2021","FQ3 2021","Currency=USD","Period=FQ","BEST_FPERIOD_OVERRIDE=FQ","FILING_STATUS=MR","SCALING_FORMAT=MLN","Sort=A","Dates=H","DateFormat=P","Fill=—","Direction=H","UseDPDF=Y")</f>
        <v>2675.3620000000001</v>
      </c>
      <c r="N21" s="16">
        <f>_xll.BDH("ALNY US Equity","BS_CUR_ASSET_REPORT","FQ4 2021","FQ4 2021","Currency=USD","Period=FQ","BEST_FPERIOD_OVERRIDE=FQ","FILING_STATUS=MR","SCALING_FORMAT=MLN","Sort=A","Dates=H","DateFormat=P","Fill=—","Direction=H","UseDPDF=Y")</f>
        <v>2808.576</v>
      </c>
      <c r="O21" s="16">
        <f>_xll.BDH("ALNY US Equity","BS_CUR_ASSET_REPORT","FQ1 2022","FQ1 2022","Currency=USD","Period=FQ","BEST_FPERIOD_OVERRIDE=FQ","FILING_STATUS=MR","SCALING_FORMAT=MLN","Sort=A","Dates=H","DateFormat=P","Fill=—","Direction=H","UseDPDF=Y")</f>
        <v>2589.6770000000001</v>
      </c>
      <c r="P21" s="16">
        <f>_xll.BDH("ALNY US Equity","BS_CUR_ASSET_REPORT","FQ2 2022","FQ2 2022","Currency=USD","Period=FQ","BEST_FPERIOD_OVERRIDE=FQ","FILING_STATUS=MR","SCALING_FORMAT=MLN","Sort=A","Dates=H","DateFormat=P","Fill=—","Direction=H","UseDPDF=Y")</f>
        <v>2471.6379999999999</v>
      </c>
      <c r="Q21" s="16">
        <f>_xll.BDH("ALNY US Equity","BS_CUR_ASSET_REPORT","FQ3 2022","FQ3 2022","Currency=USD","Period=FQ","BEST_FPERIOD_OVERRIDE=FQ","FILING_STATUS=MR","SCALING_FORMAT=MLN","Sort=A","Dates=H","DateFormat=P","Fill=—","Direction=H","UseDPDF=Y")</f>
        <v>2690.8470000000002</v>
      </c>
      <c r="R21" s="16">
        <f>_xll.BDH("ALNY US Equity","BS_CUR_ASSET_REPORT","FQ4 2022","FQ4 2022","Currency=USD","Period=FQ","BEST_FPERIOD_OVERRIDE=FQ","FILING_STATUS=MR","SCALING_FORMAT=MLN","Sort=A","Dates=H","DateFormat=P","Fill=—","Direction=H","UseDPDF=Y")</f>
        <v>2692.2469999999998</v>
      </c>
      <c r="S21" s="16">
        <f>_xll.BDH("ALNY US Equity","BS_CUR_ASSET_REPORT","FQ1 2023","FQ1 2023","Currency=USD","Period=FQ","BEST_FPERIOD_OVERRIDE=FQ","FILING_STATUS=MR","SCALING_FORMAT=MLN","Sort=A","Dates=H","DateFormat=P","Fill=—","Direction=H","UseDPDF=Y")</f>
        <v>2541.018</v>
      </c>
      <c r="T21" s="16">
        <f>_xll.BDH("ALNY US Equity","BS_CUR_ASSET_REPORT","FQ2 2023","FQ2 2023","Currency=USD","Period=FQ","BEST_FPERIOD_OVERRIDE=FQ","FILING_STATUS=MR","SCALING_FORMAT=MLN","Sort=A","Dates=H","DateFormat=P","Fill=—","Direction=H","UseDPDF=Y")</f>
        <v>2524.047</v>
      </c>
      <c r="U21" s="16">
        <f>_xll.BDH("ALNY US Equity","BS_CUR_ASSET_REPORT","FQ3 2023","FQ3 2023","Currency=USD","Period=FQ","BEST_FPERIOD_OVERRIDE=FQ","FILING_STATUS=MR","SCALING_FORMAT=MLN","Sort=A","Dates=H","DateFormat=P","Fill=—","Direction=H","UseDPDF=Y")</f>
        <v>2985.4520000000002</v>
      </c>
      <c r="V21" s="16">
        <f>_xll.BDH("ALNY US Equity","BS_CUR_ASSET_REPORT","FQ4 2023","FQ4 2023","Currency=USD","Period=FQ","BEST_FPERIOD_OVERRIDE=FQ","FILING_STATUS=MR","SCALING_FORMAT=MLN","Sort=A","Dates=H","DateFormat=P","Fill=—","Direction=H","UseDPDF=Y")</f>
        <v>2982.6970000000001</v>
      </c>
      <c r="W21" s="16">
        <f>_xll.BDH("ALNY US Equity","BS_CUR_ASSET_REPORT","FQ1 2024","FQ1 2024","Currency=USD","Period=FQ","BEST_FPERIOD_OVERRIDE=FQ","FILING_STATUS=MR","SCALING_FORMAT=MLN","Sort=A","Dates=H","DateFormat=P","Fill=—","Direction=H","UseDPDF=Y")</f>
        <v>2988.607</v>
      </c>
      <c r="X21" s="16">
        <f>_xll.BDH("ALNY US Equity","BS_CUR_ASSET_REPORT","FQ2 2024","FQ2 2024","Currency=USD","Period=FQ","BEST_FPERIOD_OVERRIDE=FQ","FILING_STATUS=MR","SCALING_FORMAT=MLN","Sort=A","Dates=H","DateFormat=P","Fill=—","Direction=H","UseDPDF=Y")</f>
        <v>3172.8560000000002</v>
      </c>
      <c r="Y21" s="16">
        <f>_xll.BDH("ALNY US Equity","BS_CUR_ASSET_REPORT","FQ3 2024","FQ3 2024","Currency=USD","Period=FQ","BEST_FPERIOD_OVERRIDE=FQ","FILING_STATUS=MR","SCALING_FORMAT=MLN","Sort=A","Dates=H","DateFormat=P","Fill=—","Direction=H","UseDPDF=Y")</f>
        <v>3355.424</v>
      </c>
      <c r="Z21" s="16">
        <f>_xll.BDH("ALNY US Equity","BS_CUR_ASSET_REPORT","FQ4 2024","FQ4 2024","Currency=USD","Period=FQ","BEST_FPERIOD_OVERRIDE=FQ","FILING_STATUS=MR","SCALING_FORMAT=MLN","Sort=A","Dates=H","DateFormat=P","Fill=—","Direction=H","UseDPDF=Y")</f>
        <v>3295.2849999999999</v>
      </c>
    </row>
    <row r="22" spans="1:26" x14ac:dyDescent="0.25">
      <c r="A22" s="10" t="s">
        <v>205</v>
      </c>
      <c r="B22" s="10" t="s">
        <v>206</v>
      </c>
      <c r="C22" s="13">
        <f>_xll.BDH("ALNY US Equity","BS_NET_FIX_ASSET","FQ1 2019","FQ1 2019","Currency=USD","Period=FQ","BEST_FPERIOD_OVERRIDE=FQ","FILING_STATUS=MR","SCALING_FORMAT=MLN","Sort=A","Dates=H","DateFormat=P","Fill=—","Direction=H","UseDPDF=Y")</f>
        <v>568.12400000000002</v>
      </c>
      <c r="D22" s="13">
        <f>_xll.BDH("ALNY US Equity","BS_NET_FIX_ASSET","FQ2 2019","FQ2 2019","Currency=USD","Period=FQ","BEST_FPERIOD_OVERRIDE=FQ","FILING_STATUS=MR","SCALING_FORMAT=MLN","Sort=A","Dates=H","DateFormat=P","Fill=—","Direction=H","UseDPDF=Y")</f>
        <v>598.12599999999998</v>
      </c>
      <c r="E22" s="13">
        <f>_xll.BDH("ALNY US Equity","BS_NET_FIX_ASSET","FQ3 2019","FQ3 2019","Currency=USD","Period=FQ","BEST_FPERIOD_OVERRIDE=FQ","FILING_STATUS=MR","SCALING_FORMAT=MLN","Sort=A","Dates=H","DateFormat=P","Fill=—","Direction=H","UseDPDF=Y")</f>
        <v>619.9</v>
      </c>
      <c r="F22" s="13">
        <f>_xll.BDH("ALNY US Equity","BS_NET_FIX_ASSET","FQ4 2019","FQ4 2019","Currency=USD","Period=FQ","BEST_FPERIOD_OVERRIDE=FQ","FILING_STATUS=MR","SCALING_FORMAT=MLN","Sort=A","Dates=H","DateFormat=P","Fill=—","Direction=H","UseDPDF=Y")</f>
        <v>646.37599999999998</v>
      </c>
      <c r="G22" s="13">
        <f>_xll.BDH("ALNY US Equity","BS_NET_FIX_ASSET","FQ1 2020","FQ1 2020","Currency=USD","Period=FQ","BEST_FPERIOD_OVERRIDE=FQ","FILING_STATUS=MR","SCALING_FORMAT=MLN","Sort=A","Dates=H","DateFormat=P","Fill=—","Direction=H","UseDPDF=Y")</f>
        <v>651.09400000000005</v>
      </c>
      <c r="H22" s="13">
        <f>_xll.BDH("ALNY US Equity","BS_NET_FIX_ASSET","FQ2 2020","FQ2 2020","Currency=USD","Period=FQ","BEST_FPERIOD_OVERRIDE=FQ","FILING_STATUS=MR","SCALING_FORMAT=MLN","Sort=A","Dates=H","DateFormat=P","Fill=—","Direction=H","UseDPDF=Y")</f>
        <v>668.8</v>
      </c>
      <c r="I22" s="13">
        <f>_xll.BDH("ALNY US Equity","BS_NET_FIX_ASSET","FQ3 2020","FQ3 2020","Currency=USD","Period=FQ","BEST_FPERIOD_OVERRIDE=FQ","FILING_STATUS=MR","SCALING_FORMAT=MLN","Sort=A","Dates=H","DateFormat=P","Fill=—","Direction=H","UseDPDF=Y")</f>
        <v>689.92399999999998</v>
      </c>
      <c r="J22" s="13">
        <f>_xll.BDH("ALNY US Equity","BS_NET_FIX_ASSET","FQ4 2020","FQ4 2020","Currency=USD","Period=FQ","BEST_FPERIOD_OVERRIDE=FQ","FILING_STATUS=MR","SCALING_FORMAT=MLN","Sort=A","Dates=H","DateFormat=P","Fill=—","Direction=H","UseDPDF=Y")</f>
        <v>706.51400000000001</v>
      </c>
      <c r="K22" s="13">
        <f>_xll.BDH("ALNY US Equity","BS_NET_FIX_ASSET","FQ1 2021","FQ1 2021","Currency=USD","Period=FQ","BEST_FPERIOD_OVERRIDE=FQ","FILING_STATUS=MR","SCALING_FORMAT=MLN","Sort=A","Dates=H","DateFormat=P","Fill=—","Direction=H","UseDPDF=Y")</f>
        <v>701.78499999999997</v>
      </c>
      <c r="L22" s="13">
        <f>_xll.BDH("ALNY US Equity","BS_NET_FIX_ASSET","FQ2 2021","FQ2 2021","Currency=USD","Period=FQ","BEST_FPERIOD_OVERRIDE=FQ","FILING_STATUS=MR","SCALING_FORMAT=MLN","Sort=A","Dates=H","DateFormat=P","Fill=—","Direction=H","UseDPDF=Y")</f>
        <v>708.78899999999999</v>
      </c>
      <c r="M22" s="13">
        <f>_xll.BDH("ALNY US Equity","BS_NET_FIX_ASSET","FQ3 2021","FQ3 2021","Currency=USD","Period=FQ","BEST_FPERIOD_OVERRIDE=FQ","FILING_STATUS=MR","SCALING_FORMAT=MLN","Sort=A","Dates=H","DateFormat=P","Fill=—","Direction=H","UseDPDF=Y")</f>
        <v>720.79399999999998</v>
      </c>
      <c r="N22" s="13">
        <f>_xll.BDH("ALNY US Equity","BS_NET_FIX_ASSET","FQ4 2021","FQ4 2021","Currency=USD","Period=FQ","BEST_FPERIOD_OVERRIDE=FQ","FILING_STATUS=MR","SCALING_FORMAT=MLN","Sort=A","Dates=H","DateFormat=P","Fill=—","Direction=H","UseDPDF=Y")</f>
        <v>733.63300000000004</v>
      </c>
      <c r="O22" s="13">
        <f>_xll.BDH("ALNY US Equity","BS_NET_FIX_ASSET","FQ1 2022","FQ1 2022","Currency=USD","Period=FQ","BEST_FPERIOD_OVERRIDE=FQ","FILING_STATUS=MR","SCALING_FORMAT=MLN","Sort=A","Dates=H","DateFormat=P","Fill=—","Direction=H","UseDPDF=Y")</f>
        <v>733.15800000000002</v>
      </c>
      <c r="P22" s="13">
        <f>_xll.BDH("ALNY US Equity","BS_NET_FIX_ASSET","FQ2 2022","FQ2 2022","Currency=USD","Period=FQ","BEST_FPERIOD_OVERRIDE=FQ","FILING_STATUS=MR","SCALING_FORMAT=MLN","Sort=A","Dates=H","DateFormat=P","Fill=—","Direction=H","UseDPDF=Y")</f>
        <v>732.12199999999996</v>
      </c>
      <c r="Q22" s="13">
        <f>_xll.BDH("ALNY US Equity","BS_NET_FIX_ASSET","FQ3 2022","FQ3 2022","Currency=USD","Period=FQ","BEST_FPERIOD_OVERRIDE=FQ","FILING_STATUS=MR","SCALING_FORMAT=MLN","Sort=A","Dates=H","DateFormat=P","Fill=—","Direction=H","UseDPDF=Y")</f>
        <v>733.62300000000005</v>
      </c>
      <c r="R22" s="13">
        <f>_xll.BDH("ALNY US Equity","BS_NET_FIX_ASSET","FQ4 2022","FQ4 2022","Currency=USD","Period=FQ","BEST_FPERIOD_OVERRIDE=FQ","FILING_STATUS=MR","SCALING_FORMAT=MLN","Sort=A","Dates=H","DateFormat=P","Fill=—","Direction=H","UseDPDF=Y")</f>
        <v>738.63</v>
      </c>
      <c r="S22" s="13">
        <f>_xll.BDH("ALNY US Equity","BS_NET_FIX_ASSET","FQ1 2023","FQ1 2023","Currency=USD","Period=FQ","BEST_FPERIOD_OVERRIDE=FQ","FILING_STATUS=MR","SCALING_FORMAT=MLN","Sort=A","Dates=H","DateFormat=P","Fill=—","Direction=H","UseDPDF=Y")</f>
        <v>738.08100000000002</v>
      </c>
      <c r="T22" s="13">
        <f>_xll.BDH("ALNY US Equity","BS_NET_FIX_ASSET","FQ2 2023","FQ2 2023","Currency=USD","Period=FQ","BEST_FPERIOD_OVERRIDE=FQ","FILING_STATUS=MR","SCALING_FORMAT=MLN","Sort=A","Dates=H","DateFormat=P","Fill=—","Direction=H","UseDPDF=Y")</f>
        <v>736.27499999999998</v>
      </c>
      <c r="U22" s="13">
        <f>_xll.BDH("ALNY US Equity","BS_NET_FIX_ASSET","FQ3 2023","FQ3 2023","Currency=USD","Period=FQ","BEST_FPERIOD_OVERRIDE=FQ","FILING_STATUS=MR","SCALING_FORMAT=MLN","Sort=A","Dates=H","DateFormat=P","Fill=—","Direction=H","UseDPDF=Y")</f>
        <v>729.07600000000002</v>
      </c>
      <c r="V22" s="13">
        <f>_xll.BDH("ALNY US Equity","BS_NET_FIX_ASSET","FQ4 2023","FQ4 2023","Currency=USD","Period=FQ","BEST_FPERIOD_OVERRIDE=FQ","FILING_STATUS=MR","SCALING_FORMAT=MLN","Sort=A","Dates=H","DateFormat=P","Fill=—","Direction=H","UseDPDF=Y")</f>
        <v>725.78899999999999</v>
      </c>
      <c r="W22" s="13">
        <f>_xll.BDH("ALNY US Equity","BS_NET_FIX_ASSET","FQ1 2024","FQ1 2024","Currency=USD","Period=FQ","BEST_FPERIOD_OVERRIDE=FQ","FILING_STATUS=MR","SCALING_FORMAT=MLN","Sort=A","Dates=H","DateFormat=P","Fill=—","Direction=H","UseDPDF=Y")</f>
        <v>718.928</v>
      </c>
      <c r="X22" s="13">
        <f>_xll.BDH("ALNY US Equity","BS_NET_FIX_ASSET","FQ2 2024","FQ2 2024","Currency=USD","Period=FQ","BEST_FPERIOD_OVERRIDE=FQ","FILING_STATUS=MR","SCALING_FORMAT=MLN","Sort=A","Dates=H","DateFormat=P","Fill=—","Direction=H","UseDPDF=Y")</f>
        <v>715.46199999999999</v>
      </c>
      <c r="Y22" s="13">
        <f>_xll.BDH("ALNY US Equity","BS_NET_FIX_ASSET","FQ3 2024","FQ3 2024","Currency=USD","Period=FQ","BEST_FPERIOD_OVERRIDE=FQ","FILING_STATUS=MR","SCALING_FORMAT=MLN","Sort=A","Dates=H","DateFormat=P","Fill=—","Direction=H","UseDPDF=Y")</f>
        <v>703.40499999999997</v>
      </c>
      <c r="Z22" s="13">
        <f>_xll.BDH("ALNY US Equity","BS_NET_FIX_ASSET","FQ4 2024","FQ4 2024","Currency=USD","Period=FQ","BEST_FPERIOD_OVERRIDE=FQ","FILING_STATUS=MR","SCALING_FORMAT=MLN","Sort=A","Dates=H","DateFormat=P","Fill=—","Direction=H","UseDPDF=Y")</f>
        <v>693.93200000000002</v>
      </c>
    </row>
    <row r="23" spans="1:26" x14ac:dyDescent="0.25">
      <c r="A23" s="10" t="s">
        <v>207</v>
      </c>
      <c r="B23" s="10" t="s">
        <v>208</v>
      </c>
      <c r="C23" s="13" t="str">
        <f>_xll.BDH("ALNY US Equity","BS_GROSS_FIX_ASSET","FQ1 2019","FQ1 2019","Currency=USD","Period=FQ","BEST_FPERIOD_OVERRIDE=FQ","FILING_STATUS=MR","SCALING_FORMAT=MLN","Sort=A","Dates=H","DateFormat=P","Fill=—","Direction=H","UseDPDF=Y")</f>
        <v>—</v>
      </c>
      <c r="D23" s="13" t="str">
        <f>_xll.BDH("ALNY US Equity","BS_GROSS_FIX_ASSET","FQ2 2019","FQ2 2019","Currency=USD","Period=FQ","BEST_FPERIOD_OVERRIDE=FQ","FILING_STATUS=MR","SCALING_FORMAT=MLN","Sort=A","Dates=H","DateFormat=P","Fill=—","Direction=H","UseDPDF=Y")</f>
        <v>—</v>
      </c>
      <c r="E23" s="13" t="str">
        <f>_xll.BDH("ALNY US Equity","BS_GROSS_FIX_ASSET","FQ3 2019","FQ3 2019","Currency=USD","Period=FQ","BEST_FPERIOD_OVERRIDE=FQ","FILING_STATUS=MR","SCALING_FORMAT=MLN","Sort=A","Dates=H","DateFormat=P","Fill=—","Direction=H","UseDPDF=Y")</f>
        <v>—</v>
      </c>
      <c r="F23" s="13">
        <f>_xll.BDH("ALNY US Equity","BS_GROSS_FIX_ASSET","FQ4 2019","FQ4 2019","Currency=USD","Period=FQ","BEST_FPERIOD_OVERRIDE=FQ","FILING_STATUS=MR","SCALING_FORMAT=MLN","Sort=A","Dates=H","DateFormat=P","Fill=—","Direction=H","UseDPDF=Y")</f>
        <v>722.53399999999999</v>
      </c>
      <c r="G23" s="13" t="str">
        <f>_xll.BDH("ALNY US Equity","BS_GROSS_FIX_ASSET","FQ1 2020","FQ1 2020","Currency=USD","Period=FQ","BEST_FPERIOD_OVERRIDE=FQ","FILING_STATUS=MR","SCALING_FORMAT=MLN","Sort=A","Dates=H","DateFormat=P","Fill=—","Direction=H","UseDPDF=Y")</f>
        <v>—</v>
      </c>
      <c r="H23" s="13" t="str">
        <f>_xll.BDH("ALNY US Equity","BS_GROSS_FIX_ASSET","FQ2 2020","FQ2 2020","Currency=USD","Period=FQ","BEST_FPERIOD_OVERRIDE=FQ","FILING_STATUS=MR","SCALING_FORMAT=MLN","Sort=A","Dates=H","DateFormat=P","Fill=—","Direction=H","UseDPDF=Y")</f>
        <v>—</v>
      </c>
      <c r="I23" s="13" t="str">
        <f>_xll.BDH("ALNY US Equity","BS_GROSS_FIX_ASSET","FQ3 2020","FQ3 2020","Currency=USD","Period=FQ","BEST_FPERIOD_OVERRIDE=FQ","FILING_STATUS=MR","SCALING_FORMAT=MLN","Sort=A","Dates=H","DateFormat=P","Fill=—","Direction=H","UseDPDF=Y")</f>
        <v>—</v>
      </c>
      <c r="J23" s="13">
        <f>_xll.BDH("ALNY US Equity","BS_GROSS_FIX_ASSET","FQ4 2020","FQ4 2020","Currency=USD","Period=FQ","BEST_FPERIOD_OVERRIDE=FQ","FILING_STATUS=MR","SCALING_FORMAT=MLN","Sort=A","Dates=H","DateFormat=P","Fill=—","Direction=H","UseDPDF=Y")</f>
        <v>810.86099999999999</v>
      </c>
      <c r="K23" s="13" t="str">
        <f>_xll.BDH("ALNY US Equity","BS_GROSS_FIX_ASSET","FQ1 2021","FQ1 2021","Currency=USD","Period=FQ","BEST_FPERIOD_OVERRIDE=FQ","FILING_STATUS=MR","SCALING_FORMAT=MLN","Sort=A","Dates=H","DateFormat=P","Fill=—","Direction=H","UseDPDF=Y")</f>
        <v>—</v>
      </c>
      <c r="L23" s="13" t="str">
        <f>_xll.BDH("ALNY US Equity","BS_GROSS_FIX_ASSET","FQ2 2021","FQ2 2021","Currency=USD","Period=FQ","BEST_FPERIOD_OVERRIDE=FQ","FILING_STATUS=MR","SCALING_FORMAT=MLN","Sort=A","Dates=H","DateFormat=P","Fill=—","Direction=H","UseDPDF=Y")</f>
        <v>—</v>
      </c>
      <c r="M23" s="13" t="str">
        <f>_xll.BDH("ALNY US Equity","BS_GROSS_FIX_ASSET","FQ3 2021","FQ3 2021","Currency=USD","Period=FQ","BEST_FPERIOD_OVERRIDE=FQ","FILING_STATUS=MR","SCALING_FORMAT=MLN","Sort=A","Dates=H","DateFormat=P","Fill=—","Direction=H","UseDPDF=Y")</f>
        <v>—</v>
      </c>
      <c r="N23" s="13">
        <f>_xll.BDH("ALNY US Equity","BS_GROSS_FIX_ASSET","FQ4 2021","FQ4 2021","Currency=USD","Period=FQ","BEST_FPERIOD_OVERRIDE=FQ","FILING_STATUS=MR","SCALING_FORMAT=MLN","Sort=A","Dates=H","DateFormat=P","Fill=—","Direction=H","UseDPDF=Y")</f>
        <v>874.048</v>
      </c>
      <c r="O23" s="13" t="str">
        <f>_xll.BDH("ALNY US Equity","BS_GROSS_FIX_ASSET","FQ1 2022","FQ1 2022","Currency=USD","Period=FQ","BEST_FPERIOD_OVERRIDE=FQ","FILING_STATUS=MR","SCALING_FORMAT=MLN","Sort=A","Dates=H","DateFormat=P","Fill=—","Direction=H","UseDPDF=Y")</f>
        <v>—</v>
      </c>
      <c r="P23" s="13" t="str">
        <f>_xll.BDH("ALNY US Equity","BS_GROSS_FIX_ASSET","FQ2 2022","FQ2 2022","Currency=USD","Period=FQ","BEST_FPERIOD_OVERRIDE=FQ","FILING_STATUS=MR","SCALING_FORMAT=MLN","Sort=A","Dates=H","DateFormat=P","Fill=—","Direction=H","UseDPDF=Y")</f>
        <v>—</v>
      </c>
      <c r="Q23" s="13" t="str">
        <f>_xll.BDH("ALNY US Equity","BS_GROSS_FIX_ASSET","FQ3 2022","FQ3 2022","Currency=USD","Period=FQ","BEST_FPERIOD_OVERRIDE=FQ","FILING_STATUS=MR","SCALING_FORMAT=MLN","Sort=A","Dates=H","DateFormat=P","Fill=—","Direction=H","UseDPDF=Y")</f>
        <v>—</v>
      </c>
      <c r="R23" s="13">
        <f>_xll.BDH("ALNY US Equity","BS_GROSS_FIX_ASSET","FQ4 2022","FQ4 2022","Currency=USD","Period=FQ","BEST_FPERIOD_OVERRIDE=FQ","FILING_STATUS=MR","SCALING_FORMAT=MLN","Sort=A","Dates=H","DateFormat=P","Fill=—","Direction=H","UseDPDF=Y")</f>
        <v>912.08</v>
      </c>
      <c r="S23" s="13" t="str">
        <f>_xll.BDH("ALNY US Equity","BS_GROSS_FIX_ASSET","FQ1 2023","FQ1 2023","Currency=USD","Period=FQ","BEST_FPERIOD_OVERRIDE=FQ","FILING_STATUS=MR","SCALING_FORMAT=MLN","Sort=A","Dates=H","DateFormat=P","Fill=—","Direction=H","UseDPDF=Y")</f>
        <v>—</v>
      </c>
      <c r="T23" s="13" t="str">
        <f>_xll.BDH("ALNY US Equity","BS_GROSS_FIX_ASSET","FQ2 2023","FQ2 2023","Currency=USD","Period=FQ","BEST_FPERIOD_OVERRIDE=FQ","FILING_STATUS=MR","SCALING_FORMAT=MLN","Sort=A","Dates=H","DateFormat=P","Fill=—","Direction=H","UseDPDF=Y")</f>
        <v>—</v>
      </c>
      <c r="U23" s="13" t="str">
        <f>_xll.BDH("ALNY US Equity","BS_GROSS_FIX_ASSET","FQ3 2023","FQ3 2023","Currency=USD","Period=FQ","BEST_FPERIOD_OVERRIDE=FQ","FILING_STATUS=MR","SCALING_FORMAT=MLN","Sort=A","Dates=H","DateFormat=P","Fill=—","Direction=H","UseDPDF=Y")</f>
        <v>—</v>
      </c>
      <c r="V23" s="13">
        <f>_xll.BDH("ALNY US Equity","BS_GROSS_FIX_ASSET","FQ4 2023","FQ4 2023","Currency=USD","Period=FQ","BEST_FPERIOD_OVERRIDE=FQ","FILING_STATUS=MR","SCALING_FORMAT=MLN","Sort=A","Dates=H","DateFormat=P","Fill=—","Direction=H","UseDPDF=Y")</f>
        <v>948.86500000000001</v>
      </c>
      <c r="W23" s="13" t="str">
        <f>_xll.BDH("ALNY US Equity","BS_GROSS_FIX_ASSET","FQ1 2024","FQ1 2024","Currency=USD","Period=FQ","BEST_FPERIOD_OVERRIDE=FQ","FILING_STATUS=MR","SCALING_FORMAT=MLN","Sort=A","Dates=H","DateFormat=P","Fill=—","Direction=H","UseDPDF=Y")</f>
        <v>—</v>
      </c>
      <c r="X23" s="13" t="str">
        <f>_xll.BDH("ALNY US Equity","BS_GROSS_FIX_ASSET","FQ2 2024","FQ2 2024","Currency=USD","Period=FQ","BEST_FPERIOD_OVERRIDE=FQ","FILING_STATUS=MR","SCALING_FORMAT=MLN","Sort=A","Dates=H","DateFormat=P","Fill=—","Direction=H","UseDPDF=Y")</f>
        <v>—</v>
      </c>
      <c r="Y23" s="13" t="str">
        <f>_xll.BDH("ALNY US Equity","BS_GROSS_FIX_ASSET","FQ3 2024","FQ3 2024","Currency=USD","Period=FQ","BEST_FPERIOD_OVERRIDE=FQ","FILING_STATUS=MR","SCALING_FORMAT=MLN","Sort=A","Dates=H","DateFormat=P","Fill=—","Direction=H","UseDPDF=Y")</f>
        <v>—</v>
      </c>
      <c r="Z23" s="13">
        <f>_xll.BDH("ALNY US Equity","BS_GROSS_FIX_ASSET","FQ4 2024","FQ4 2024","Currency=USD","Period=FQ","BEST_FPERIOD_OVERRIDE=FQ","FILING_STATUS=MR","SCALING_FORMAT=MLN","Sort=A","Dates=H","DateFormat=P","Fill=—","Direction=H","UseDPDF=Y")</f>
        <v>964.29600000000005</v>
      </c>
    </row>
    <row r="24" spans="1:26" x14ac:dyDescent="0.25">
      <c r="A24" s="10" t="s">
        <v>209</v>
      </c>
      <c r="B24" s="10" t="s">
        <v>210</v>
      </c>
      <c r="C24" s="13" t="str">
        <f>_xll.BDH("ALNY US Equity","BS_ACCUM_DEPR","FQ1 2019","FQ1 2019","Currency=USD","Period=FQ","BEST_FPERIOD_OVERRIDE=FQ","FILING_STATUS=MR","SCALING_FORMAT=MLN","Sort=A","Dates=H","DateFormat=P","Fill=—","Direction=H","UseDPDF=Y")</f>
        <v>—</v>
      </c>
      <c r="D24" s="13" t="str">
        <f>_xll.BDH("ALNY US Equity","BS_ACCUM_DEPR","FQ2 2019","FQ2 2019","Currency=USD","Period=FQ","BEST_FPERIOD_OVERRIDE=FQ","FILING_STATUS=MR","SCALING_FORMAT=MLN","Sort=A","Dates=H","DateFormat=P","Fill=—","Direction=H","UseDPDF=Y")</f>
        <v>—</v>
      </c>
      <c r="E24" s="13" t="str">
        <f>_xll.BDH("ALNY US Equity","BS_ACCUM_DEPR","FQ3 2019","FQ3 2019","Currency=USD","Period=FQ","BEST_FPERIOD_OVERRIDE=FQ","FILING_STATUS=MR","SCALING_FORMAT=MLN","Sort=A","Dates=H","DateFormat=P","Fill=—","Direction=H","UseDPDF=Y")</f>
        <v>—</v>
      </c>
      <c r="F24" s="13">
        <f>_xll.BDH("ALNY US Equity","BS_ACCUM_DEPR","FQ4 2019","FQ4 2019","Currency=USD","Period=FQ","BEST_FPERIOD_OVERRIDE=FQ","FILING_STATUS=MR","SCALING_FORMAT=MLN","Sort=A","Dates=H","DateFormat=P","Fill=—","Direction=H","UseDPDF=Y")</f>
        <v>76.158000000000001</v>
      </c>
      <c r="G24" s="13" t="str">
        <f>_xll.BDH("ALNY US Equity","BS_ACCUM_DEPR","FQ1 2020","FQ1 2020","Currency=USD","Period=FQ","BEST_FPERIOD_OVERRIDE=FQ","FILING_STATUS=MR","SCALING_FORMAT=MLN","Sort=A","Dates=H","DateFormat=P","Fill=—","Direction=H","UseDPDF=Y")</f>
        <v>—</v>
      </c>
      <c r="H24" s="13" t="str">
        <f>_xll.BDH("ALNY US Equity","BS_ACCUM_DEPR","FQ2 2020","FQ2 2020","Currency=USD","Period=FQ","BEST_FPERIOD_OVERRIDE=FQ","FILING_STATUS=MR","SCALING_FORMAT=MLN","Sort=A","Dates=H","DateFormat=P","Fill=—","Direction=H","UseDPDF=Y")</f>
        <v>—</v>
      </c>
      <c r="I24" s="13" t="str">
        <f>_xll.BDH("ALNY US Equity","BS_ACCUM_DEPR","FQ3 2020","FQ3 2020","Currency=USD","Period=FQ","BEST_FPERIOD_OVERRIDE=FQ","FILING_STATUS=MR","SCALING_FORMAT=MLN","Sort=A","Dates=H","DateFormat=P","Fill=—","Direction=H","UseDPDF=Y")</f>
        <v>—</v>
      </c>
      <c r="J24" s="13">
        <f>_xll.BDH("ALNY US Equity","BS_ACCUM_DEPR","FQ4 2020","FQ4 2020","Currency=USD","Period=FQ","BEST_FPERIOD_OVERRIDE=FQ","FILING_STATUS=MR","SCALING_FORMAT=MLN","Sort=A","Dates=H","DateFormat=P","Fill=—","Direction=H","UseDPDF=Y")</f>
        <v>104.34699999999999</v>
      </c>
      <c r="K24" s="13" t="str">
        <f>_xll.BDH("ALNY US Equity","BS_ACCUM_DEPR","FQ1 2021","FQ1 2021","Currency=USD","Period=FQ","BEST_FPERIOD_OVERRIDE=FQ","FILING_STATUS=MR","SCALING_FORMAT=MLN","Sort=A","Dates=H","DateFormat=P","Fill=—","Direction=H","UseDPDF=Y")</f>
        <v>—</v>
      </c>
      <c r="L24" s="13" t="str">
        <f>_xll.BDH("ALNY US Equity","BS_ACCUM_DEPR","FQ2 2021","FQ2 2021","Currency=USD","Period=FQ","BEST_FPERIOD_OVERRIDE=FQ","FILING_STATUS=MR","SCALING_FORMAT=MLN","Sort=A","Dates=H","DateFormat=P","Fill=—","Direction=H","UseDPDF=Y")</f>
        <v>—</v>
      </c>
      <c r="M24" s="13" t="str">
        <f>_xll.BDH("ALNY US Equity","BS_ACCUM_DEPR","FQ3 2021","FQ3 2021","Currency=USD","Period=FQ","BEST_FPERIOD_OVERRIDE=FQ","FILING_STATUS=MR","SCALING_FORMAT=MLN","Sort=A","Dates=H","DateFormat=P","Fill=—","Direction=H","UseDPDF=Y")</f>
        <v>—</v>
      </c>
      <c r="N24" s="13">
        <f>_xll.BDH("ALNY US Equity","BS_ACCUM_DEPR","FQ4 2021","FQ4 2021","Currency=USD","Period=FQ","BEST_FPERIOD_OVERRIDE=FQ","FILING_STATUS=MR","SCALING_FORMAT=MLN","Sort=A","Dates=H","DateFormat=P","Fill=—","Direction=H","UseDPDF=Y")</f>
        <v>140.41499999999999</v>
      </c>
      <c r="O24" s="13" t="str">
        <f>_xll.BDH("ALNY US Equity","BS_ACCUM_DEPR","FQ1 2022","FQ1 2022","Currency=USD","Period=FQ","BEST_FPERIOD_OVERRIDE=FQ","FILING_STATUS=MR","SCALING_FORMAT=MLN","Sort=A","Dates=H","DateFormat=P","Fill=—","Direction=H","UseDPDF=Y")</f>
        <v>—</v>
      </c>
      <c r="P24" s="13" t="str">
        <f>_xll.BDH("ALNY US Equity","BS_ACCUM_DEPR","FQ2 2022","FQ2 2022","Currency=USD","Period=FQ","BEST_FPERIOD_OVERRIDE=FQ","FILING_STATUS=MR","SCALING_FORMAT=MLN","Sort=A","Dates=H","DateFormat=P","Fill=—","Direction=H","UseDPDF=Y")</f>
        <v>—</v>
      </c>
      <c r="Q24" s="13" t="str">
        <f>_xll.BDH("ALNY US Equity","BS_ACCUM_DEPR","FQ3 2022","FQ3 2022","Currency=USD","Period=FQ","BEST_FPERIOD_OVERRIDE=FQ","FILING_STATUS=MR","SCALING_FORMAT=MLN","Sort=A","Dates=H","DateFormat=P","Fill=—","Direction=H","UseDPDF=Y")</f>
        <v>—</v>
      </c>
      <c r="R24" s="13">
        <f>_xll.BDH("ALNY US Equity","BS_ACCUM_DEPR","FQ4 2022","FQ4 2022","Currency=USD","Period=FQ","BEST_FPERIOD_OVERRIDE=FQ","FILING_STATUS=MR","SCALING_FORMAT=MLN","Sort=A","Dates=H","DateFormat=P","Fill=—","Direction=H","UseDPDF=Y")</f>
        <v>173.45</v>
      </c>
      <c r="S24" s="13" t="str">
        <f>_xll.BDH("ALNY US Equity","BS_ACCUM_DEPR","FQ1 2023","FQ1 2023","Currency=USD","Period=FQ","BEST_FPERIOD_OVERRIDE=FQ","FILING_STATUS=MR","SCALING_FORMAT=MLN","Sort=A","Dates=H","DateFormat=P","Fill=—","Direction=H","UseDPDF=Y")</f>
        <v>—</v>
      </c>
      <c r="T24" s="13" t="str">
        <f>_xll.BDH("ALNY US Equity","BS_ACCUM_DEPR","FQ2 2023","FQ2 2023","Currency=USD","Period=FQ","BEST_FPERIOD_OVERRIDE=FQ","FILING_STATUS=MR","SCALING_FORMAT=MLN","Sort=A","Dates=H","DateFormat=P","Fill=—","Direction=H","UseDPDF=Y")</f>
        <v>—</v>
      </c>
      <c r="U24" s="13" t="str">
        <f>_xll.BDH("ALNY US Equity","BS_ACCUM_DEPR","FQ3 2023","FQ3 2023","Currency=USD","Period=FQ","BEST_FPERIOD_OVERRIDE=FQ","FILING_STATUS=MR","SCALING_FORMAT=MLN","Sort=A","Dates=H","DateFormat=P","Fill=—","Direction=H","UseDPDF=Y")</f>
        <v>—</v>
      </c>
      <c r="V24" s="13">
        <f>_xll.BDH("ALNY US Equity","BS_ACCUM_DEPR","FQ4 2023","FQ4 2023","Currency=USD","Period=FQ","BEST_FPERIOD_OVERRIDE=FQ","FILING_STATUS=MR","SCALING_FORMAT=MLN","Sort=A","Dates=H","DateFormat=P","Fill=—","Direction=H","UseDPDF=Y")</f>
        <v>223.07599999999999</v>
      </c>
      <c r="W24" s="13" t="str">
        <f>_xll.BDH("ALNY US Equity","BS_ACCUM_DEPR","FQ1 2024","FQ1 2024","Currency=USD","Period=FQ","BEST_FPERIOD_OVERRIDE=FQ","FILING_STATUS=MR","SCALING_FORMAT=MLN","Sort=A","Dates=H","DateFormat=P","Fill=—","Direction=H","UseDPDF=Y")</f>
        <v>—</v>
      </c>
      <c r="X24" s="13" t="str">
        <f>_xll.BDH("ALNY US Equity","BS_ACCUM_DEPR","FQ2 2024","FQ2 2024","Currency=USD","Period=FQ","BEST_FPERIOD_OVERRIDE=FQ","FILING_STATUS=MR","SCALING_FORMAT=MLN","Sort=A","Dates=H","DateFormat=P","Fill=—","Direction=H","UseDPDF=Y")</f>
        <v>—</v>
      </c>
      <c r="Y24" s="13" t="str">
        <f>_xll.BDH("ALNY US Equity","BS_ACCUM_DEPR","FQ3 2024","FQ3 2024","Currency=USD","Period=FQ","BEST_FPERIOD_OVERRIDE=FQ","FILING_STATUS=MR","SCALING_FORMAT=MLN","Sort=A","Dates=H","DateFormat=P","Fill=—","Direction=H","UseDPDF=Y")</f>
        <v>—</v>
      </c>
      <c r="Z24" s="13">
        <f>_xll.BDH("ALNY US Equity","BS_ACCUM_DEPR","FQ4 2024","FQ4 2024","Currency=USD","Period=FQ","BEST_FPERIOD_OVERRIDE=FQ","FILING_STATUS=MR","SCALING_FORMAT=MLN","Sort=A","Dates=H","DateFormat=P","Fill=—","Direction=H","UseDPDF=Y")</f>
        <v>270.36399999999998</v>
      </c>
    </row>
    <row r="25" spans="1:26" x14ac:dyDescent="0.25">
      <c r="A25" s="10" t="s">
        <v>211</v>
      </c>
      <c r="B25" s="10" t="s">
        <v>212</v>
      </c>
      <c r="C25" s="13">
        <f>_xll.BDH("ALNY US Equity","BS_LT_INVEST","FQ1 2019","FQ1 2019","Currency=USD","Period=FQ","BEST_FPERIOD_OVERRIDE=FQ","FILING_STATUS=MR","SCALING_FORMAT=MLN","Sort=A","Dates=H","DateFormat=P","Fill=—","Direction=H","UseDPDF=Y")</f>
        <v>0</v>
      </c>
      <c r="D25" s="13">
        <f>_xll.BDH("ALNY US Equity","BS_LT_INVEST","FQ2 2019","FQ2 2019","Currency=USD","Period=FQ","BEST_FPERIOD_OVERRIDE=FQ","FILING_STATUS=MR","SCALING_FORMAT=MLN","Sort=A","Dates=H","DateFormat=P","Fill=—","Direction=H","UseDPDF=Y")</f>
        <v>0</v>
      </c>
      <c r="E25" s="13">
        <f>_xll.BDH("ALNY US Equity","BS_LT_INVEST","FQ3 2019","FQ3 2019","Currency=USD","Period=FQ","BEST_FPERIOD_OVERRIDE=FQ","FILING_STATUS=MR","SCALING_FORMAT=MLN","Sort=A","Dates=H","DateFormat=P","Fill=—","Direction=H","UseDPDF=Y")</f>
        <v>0</v>
      </c>
      <c r="F25" s="13">
        <f>_xll.BDH("ALNY US Equity","BS_LT_INVEST","FQ4 2019","FQ4 2019","Currency=USD","Period=FQ","BEST_FPERIOD_OVERRIDE=FQ","FILING_STATUS=MR","SCALING_FORMAT=MLN","Sort=A","Dates=H","DateFormat=P","Fill=—","Direction=H","UseDPDF=Y")</f>
        <v>0</v>
      </c>
      <c r="G25" s="13">
        <f>_xll.BDH("ALNY US Equity","BS_LT_INVEST","FQ1 2020","FQ1 2020","Currency=USD","Period=FQ","BEST_FPERIOD_OVERRIDE=FQ","FILING_STATUS=MR","SCALING_FORMAT=MLN","Sort=A","Dates=H","DateFormat=P","Fill=—","Direction=H","UseDPDF=Y")</f>
        <v>0</v>
      </c>
      <c r="H25" s="13">
        <f>_xll.BDH("ALNY US Equity","BS_LT_INVEST","FQ2 2020","FQ2 2020","Currency=USD","Period=FQ","BEST_FPERIOD_OVERRIDE=FQ","FILING_STATUS=MR","SCALING_FORMAT=MLN","Sort=A","Dates=H","DateFormat=P","Fill=—","Direction=H","UseDPDF=Y")</f>
        <v>0</v>
      </c>
      <c r="I25" s="13">
        <f>_xll.BDH("ALNY US Equity","BS_LT_INVEST","FQ3 2020","FQ3 2020","Currency=USD","Period=FQ","BEST_FPERIOD_OVERRIDE=FQ","FILING_STATUS=MR","SCALING_FORMAT=MLN","Sort=A","Dates=H","DateFormat=P","Fill=—","Direction=H","UseDPDF=Y")</f>
        <v>0</v>
      </c>
      <c r="J25" s="13">
        <f>_xll.BDH("ALNY US Equity","BS_LT_INVEST","FQ4 2020","FQ4 2020","Currency=USD","Period=FQ","BEST_FPERIOD_OVERRIDE=FQ","FILING_STATUS=MR","SCALING_FORMAT=MLN","Sort=A","Dates=H","DateFormat=P","Fill=—","Direction=H","UseDPDF=Y")</f>
        <v>0</v>
      </c>
      <c r="K25" s="13">
        <f>_xll.BDH("ALNY US Equity","BS_LT_INVEST","FQ1 2021","FQ1 2021","Currency=USD","Period=FQ","BEST_FPERIOD_OVERRIDE=FQ","FILING_STATUS=MR","SCALING_FORMAT=MLN","Sort=A","Dates=H","DateFormat=P","Fill=—","Direction=H","UseDPDF=Y")</f>
        <v>0</v>
      </c>
      <c r="L25" s="13">
        <f>_xll.BDH("ALNY US Equity","BS_LT_INVEST","FQ2 2021","FQ2 2021","Currency=USD","Period=FQ","BEST_FPERIOD_OVERRIDE=FQ","FILING_STATUS=MR","SCALING_FORMAT=MLN","Sort=A","Dates=H","DateFormat=P","Fill=—","Direction=H","UseDPDF=Y")</f>
        <v>0</v>
      </c>
      <c r="M25" s="13">
        <f>_xll.BDH("ALNY US Equity","BS_LT_INVEST","FQ3 2021","FQ3 2021","Currency=USD","Period=FQ","BEST_FPERIOD_OVERRIDE=FQ","FILING_STATUS=MR","SCALING_FORMAT=MLN","Sort=A","Dates=H","DateFormat=P","Fill=—","Direction=H","UseDPDF=Y")</f>
        <v>0</v>
      </c>
      <c r="N25" s="13">
        <f>_xll.BDH("ALNY US Equity","BS_LT_INVEST","FQ4 2021","FQ4 2021","Currency=USD","Period=FQ","BEST_FPERIOD_OVERRIDE=FQ","FILING_STATUS=MR","SCALING_FORMAT=MLN","Sort=A","Dates=H","DateFormat=P","Fill=—","Direction=H","UseDPDF=Y")</f>
        <v>0</v>
      </c>
      <c r="O25" s="13">
        <f>_xll.BDH("ALNY US Equity","BS_LT_INVEST","FQ1 2022","FQ1 2022","Currency=USD","Period=FQ","BEST_FPERIOD_OVERRIDE=FQ","FILING_STATUS=MR","SCALING_FORMAT=MLN","Sort=A","Dates=H","DateFormat=P","Fill=—","Direction=H","UseDPDF=Y")</f>
        <v>0</v>
      </c>
      <c r="P25" s="13">
        <f>_xll.BDH("ALNY US Equity","BS_LT_INVEST","FQ2 2022","FQ2 2022","Currency=USD","Period=FQ","BEST_FPERIOD_OVERRIDE=FQ","FILING_STATUS=MR","SCALING_FORMAT=MLN","Sort=A","Dates=H","DateFormat=P","Fill=—","Direction=H","UseDPDF=Y")</f>
        <v>0</v>
      </c>
      <c r="Q25" s="13">
        <f>_xll.BDH("ALNY US Equity","BS_LT_INVEST","FQ3 2022","FQ3 2022","Currency=USD","Period=FQ","BEST_FPERIOD_OVERRIDE=FQ","FILING_STATUS=MR","SCALING_FORMAT=MLN","Sort=A","Dates=H","DateFormat=P","Fill=—","Direction=H","UseDPDF=Y")</f>
        <v>0</v>
      </c>
      <c r="R25" s="13">
        <f>_xll.BDH("ALNY US Equity","BS_LT_INVEST","FQ4 2022","FQ4 2022","Currency=USD","Period=FQ","BEST_FPERIOD_OVERRIDE=FQ","FILING_STATUS=MR","SCALING_FORMAT=MLN","Sort=A","Dates=H","DateFormat=P","Fill=—","Direction=H","UseDPDF=Y")</f>
        <v>0</v>
      </c>
      <c r="S25" s="13">
        <f>_xll.BDH("ALNY US Equity","BS_LT_INVEST","FQ1 2023","FQ1 2023","Currency=USD","Period=FQ","BEST_FPERIOD_OVERRIDE=FQ","FILING_STATUS=MR","SCALING_FORMAT=MLN","Sort=A","Dates=H","DateFormat=P","Fill=—","Direction=H","UseDPDF=Y")</f>
        <v>0</v>
      </c>
      <c r="T25" s="13">
        <f>_xll.BDH("ALNY US Equity","BS_LT_INVEST","FQ2 2023","FQ2 2023","Currency=USD","Period=FQ","BEST_FPERIOD_OVERRIDE=FQ","FILING_STATUS=MR","SCALING_FORMAT=MLN","Sort=A","Dates=H","DateFormat=P","Fill=—","Direction=H","UseDPDF=Y")</f>
        <v>0</v>
      </c>
      <c r="U25" s="13">
        <f>_xll.BDH("ALNY US Equity","BS_LT_INVEST","FQ3 2023","FQ3 2023","Currency=USD","Period=FQ","BEST_FPERIOD_OVERRIDE=FQ","FILING_STATUS=MR","SCALING_FORMAT=MLN","Sort=A","Dates=H","DateFormat=P","Fill=—","Direction=H","UseDPDF=Y")</f>
        <v>0</v>
      </c>
      <c r="V25" s="13">
        <f>_xll.BDH("ALNY US Equity","BS_LT_INVEST","FQ4 2023","FQ4 2023","Currency=USD","Period=FQ","BEST_FPERIOD_OVERRIDE=FQ","FILING_STATUS=MR","SCALING_FORMAT=MLN","Sort=A","Dates=H","DateFormat=P","Fill=—","Direction=H","UseDPDF=Y")</f>
        <v>0</v>
      </c>
      <c r="W25" s="13">
        <f>_xll.BDH("ALNY US Equity","BS_LT_INVEST","FQ1 2024","FQ1 2024","Currency=USD","Period=FQ","BEST_FPERIOD_OVERRIDE=FQ","FILING_STATUS=MR","SCALING_FORMAT=MLN","Sort=A","Dates=H","DateFormat=P","Fill=—","Direction=H","UseDPDF=Y")</f>
        <v>0</v>
      </c>
      <c r="X25" s="13">
        <f>_xll.BDH("ALNY US Equity","BS_LT_INVEST","FQ2 2024","FQ2 2024","Currency=USD","Period=FQ","BEST_FPERIOD_OVERRIDE=FQ","FILING_STATUS=MR","SCALING_FORMAT=MLN","Sort=A","Dates=H","DateFormat=P","Fill=—","Direction=H","UseDPDF=Y")</f>
        <v>0</v>
      </c>
      <c r="Y25" s="13">
        <f>_xll.BDH("ALNY US Equity","BS_LT_INVEST","FQ3 2024","FQ3 2024","Currency=USD","Period=FQ","BEST_FPERIOD_OVERRIDE=FQ","FILING_STATUS=MR","SCALING_FORMAT=MLN","Sort=A","Dates=H","DateFormat=P","Fill=—","Direction=H","UseDPDF=Y")</f>
        <v>0</v>
      </c>
      <c r="Z25" s="13">
        <f>_xll.BDH("ALNY US Equity","BS_LT_INVEST","FQ4 2024","FQ4 2024","Currency=USD","Period=FQ","BEST_FPERIOD_OVERRIDE=FQ","FILING_STATUS=MR","SCALING_FORMAT=MLN","Sort=A","Dates=H","DateFormat=P","Fill=—","Direction=H","UseDPDF=Y")</f>
        <v>0</v>
      </c>
    </row>
    <row r="26" spans="1:26" x14ac:dyDescent="0.25">
      <c r="A26" s="10" t="s">
        <v>213</v>
      </c>
      <c r="B26" s="10" t="s">
        <v>214</v>
      </c>
      <c r="C26" s="13" t="str">
        <f>_xll.BDH("ALNY US Equity","BS_LT_MARKETABLE_SECURITIES","FQ1 2019","FQ1 2019","Currency=USD","Period=FQ","BEST_FPERIOD_OVERRIDE=FQ","FILING_STATUS=MR","SCALING_FORMAT=MLN","Sort=A","Dates=H","DateFormat=P","Fill=—","Direction=H","UseDPDF=Y")</f>
        <v>—</v>
      </c>
      <c r="D26" s="13">
        <f>_xll.BDH("ALNY US Equity","BS_LT_MARKETABLE_SECURITIES","FQ2 2019","FQ2 2019","Currency=USD","Period=FQ","BEST_FPERIOD_OVERRIDE=FQ","FILING_STATUS=MR","SCALING_FORMAT=MLN","Sort=A","Dates=H","DateFormat=P","Fill=—","Direction=H","UseDPDF=Y")</f>
        <v>0</v>
      </c>
      <c r="E26" s="13" t="str">
        <f>_xll.BDH("ALNY US Equity","BS_LT_MARKETABLE_SECURITIES","FQ3 2019","FQ3 2019","Currency=USD","Period=FQ","BEST_FPERIOD_OVERRIDE=FQ","FILING_STATUS=MR","SCALING_FORMAT=MLN","Sort=A","Dates=H","DateFormat=P","Fill=—","Direction=H","UseDPDF=Y")</f>
        <v>—</v>
      </c>
      <c r="F26" s="13" t="str">
        <f>_xll.BDH("ALNY US Equity","BS_LT_MARKETABLE_SECURITIES","FQ4 2019","FQ4 2019","Currency=USD","Period=FQ","BEST_FPERIOD_OVERRIDE=FQ","FILING_STATUS=MR","SCALING_FORMAT=MLN","Sort=A","Dates=H","DateFormat=P","Fill=—","Direction=H","UseDPDF=Y")</f>
        <v>—</v>
      </c>
      <c r="G26" s="13" t="str">
        <f>_xll.BDH("ALNY US Equity","BS_LT_MARKETABLE_SECURITIES","FQ1 2020","FQ1 2020","Currency=USD","Period=FQ","BEST_FPERIOD_OVERRIDE=FQ","FILING_STATUS=MR","SCALING_FORMAT=MLN","Sort=A","Dates=H","DateFormat=P","Fill=—","Direction=H","UseDPDF=Y")</f>
        <v>—</v>
      </c>
      <c r="H26" s="13" t="str">
        <f>_xll.BDH("ALNY US Equity","BS_LT_MARKETABLE_SECURITIES","FQ2 2020","FQ2 2020","Currency=USD","Period=FQ","BEST_FPERIOD_OVERRIDE=FQ","FILING_STATUS=MR","SCALING_FORMAT=MLN","Sort=A","Dates=H","DateFormat=P","Fill=—","Direction=H","UseDPDF=Y")</f>
        <v>—</v>
      </c>
      <c r="I26" s="13" t="str">
        <f>_xll.BDH("ALNY US Equity","BS_LT_MARKETABLE_SECURITIES","FQ3 2020","FQ3 2020","Currency=USD","Period=FQ","BEST_FPERIOD_OVERRIDE=FQ","FILING_STATUS=MR","SCALING_FORMAT=MLN","Sort=A","Dates=H","DateFormat=P","Fill=—","Direction=H","UseDPDF=Y")</f>
        <v>—</v>
      </c>
      <c r="J26" s="13" t="str">
        <f>_xll.BDH("ALNY US Equity","BS_LT_MARKETABLE_SECURITIES","FQ4 2020","FQ4 2020","Currency=USD","Period=FQ","BEST_FPERIOD_OVERRIDE=FQ","FILING_STATUS=MR","SCALING_FORMAT=MLN","Sort=A","Dates=H","DateFormat=P","Fill=—","Direction=H","UseDPDF=Y")</f>
        <v>—</v>
      </c>
      <c r="K26" s="13" t="str">
        <f>_xll.BDH("ALNY US Equity","BS_LT_MARKETABLE_SECURITIES","FQ1 2021","FQ1 2021","Currency=USD","Period=FQ","BEST_FPERIOD_OVERRIDE=FQ","FILING_STATUS=MR","SCALING_FORMAT=MLN","Sort=A","Dates=H","DateFormat=P","Fill=—","Direction=H","UseDPDF=Y")</f>
        <v>—</v>
      </c>
      <c r="L26" s="13" t="str">
        <f>_xll.BDH("ALNY US Equity","BS_LT_MARKETABLE_SECURITIES","FQ2 2021","FQ2 2021","Currency=USD","Period=FQ","BEST_FPERIOD_OVERRIDE=FQ","FILING_STATUS=MR","SCALING_FORMAT=MLN","Sort=A","Dates=H","DateFormat=P","Fill=—","Direction=H","UseDPDF=Y")</f>
        <v>—</v>
      </c>
      <c r="M26" s="13" t="str">
        <f>_xll.BDH("ALNY US Equity","BS_LT_MARKETABLE_SECURITIES","FQ3 2021","FQ3 2021","Currency=USD","Period=FQ","BEST_FPERIOD_OVERRIDE=FQ","FILING_STATUS=MR","SCALING_FORMAT=MLN","Sort=A","Dates=H","DateFormat=P","Fill=—","Direction=H","UseDPDF=Y")</f>
        <v>—</v>
      </c>
      <c r="N26" s="13" t="str">
        <f>_xll.BDH("ALNY US Equity","BS_LT_MARKETABLE_SECURITIES","FQ4 2021","FQ4 2021","Currency=USD","Period=FQ","BEST_FPERIOD_OVERRIDE=FQ","FILING_STATUS=MR","SCALING_FORMAT=MLN","Sort=A","Dates=H","DateFormat=P","Fill=—","Direction=H","UseDPDF=Y")</f>
        <v>—</v>
      </c>
      <c r="O26" s="13" t="str">
        <f>_xll.BDH("ALNY US Equity","BS_LT_MARKETABLE_SECURITIES","FQ1 2022","FQ1 2022","Currency=USD","Period=FQ","BEST_FPERIOD_OVERRIDE=FQ","FILING_STATUS=MR","SCALING_FORMAT=MLN","Sort=A","Dates=H","DateFormat=P","Fill=—","Direction=H","UseDPDF=Y")</f>
        <v>—</v>
      </c>
      <c r="P26" s="13" t="str">
        <f>_xll.BDH("ALNY US Equity","BS_LT_MARKETABLE_SECURITIES","FQ2 2022","FQ2 2022","Currency=USD","Period=FQ","BEST_FPERIOD_OVERRIDE=FQ","FILING_STATUS=MR","SCALING_FORMAT=MLN","Sort=A","Dates=H","DateFormat=P","Fill=—","Direction=H","UseDPDF=Y")</f>
        <v>—</v>
      </c>
      <c r="Q26" s="13" t="str">
        <f>_xll.BDH("ALNY US Equity","BS_LT_MARKETABLE_SECURITIES","FQ3 2022","FQ3 2022","Currency=USD","Period=FQ","BEST_FPERIOD_OVERRIDE=FQ","FILING_STATUS=MR","SCALING_FORMAT=MLN","Sort=A","Dates=H","DateFormat=P","Fill=—","Direction=H","UseDPDF=Y")</f>
        <v>—</v>
      </c>
      <c r="R26" s="13" t="str">
        <f>_xll.BDH("ALNY US Equity","BS_LT_MARKETABLE_SECURITIES","FQ4 2022","FQ4 2022","Currency=USD","Period=FQ","BEST_FPERIOD_OVERRIDE=FQ","FILING_STATUS=MR","SCALING_FORMAT=MLN","Sort=A","Dates=H","DateFormat=P","Fill=—","Direction=H","UseDPDF=Y")</f>
        <v>—</v>
      </c>
      <c r="S26" s="13" t="str">
        <f>_xll.BDH("ALNY US Equity","BS_LT_MARKETABLE_SECURITIES","FQ1 2023","FQ1 2023","Currency=USD","Period=FQ","BEST_FPERIOD_OVERRIDE=FQ","FILING_STATUS=MR","SCALING_FORMAT=MLN","Sort=A","Dates=H","DateFormat=P","Fill=—","Direction=H","UseDPDF=Y")</f>
        <v>—</v>
      </c>
      <c r="T26" s="13" t="str">
        <f>_xll.BDH("ALNY US Equity","BS_LT_MARKETABLE_SECURITIES","FQ2 2023","FQ2 2023","Currency=USD","Period=FQ","BEST_FPERIOD_OVERRIDE=FQ","FILING_STATUS=MR","SCALING_FORMAT=MLN","Sort=A","Dates=H","DateFormat=P","Fill=—","Direction=H","UseDPDF=Y")</f>
        <v>—</v>
      </c>
      <c r="U26" s="13" t="str">
        <f>_xll.BDH("ALNY US Equity","BS_LT_MARKETABLE_SECURITIES","FQ3 2023","FQ3 2023","Currency=USD","Period=FQ","BEST_FPERIOD_OVERRIDE=FQ","FILING_STATUS=MR","SCALING_FORMAT=MLN","Sort=A","Dates=H","DateFormat=P","Fill=—","Direction=H","UseDPDF=Y")</f>
        <v>—</v>
      </c>
      <c r="V26" s="13" t="str">
        <f>_xll.BDH("ALNY US Equity","BS_LT_MARKETABLE_SECURITIES","FQ4 2023","FQ4 2023","Currency=USD","Period=FQ","BEST_FPERIOD_OVERRIDE=FQ","FILING_STATUS=MR","SCALING_FORMAT=MLN","Sort=A","Dates=H","DateFormat=P","Fill=—","Direction=H","UseDPDF=Y")</f>
        <v>—</v>
      </c>
      <c r="W26" s="13" t="str">
        <f>_xll.BDH("ALNY US Equity","BS_LT_MARKETABLE_SECURITIES","FQ1 2024","FQ1 2024","Currency=USD","Period=FQ","BEST_FPERIOD_OVERRIDE=FQ","FILING_STATUS=MR","SCALING_FORMAT=MLN","Sort=A","Dates=H","DateFormat=P","Fill=—","Direction=H","UseDPDF=Y")</f>
        <v>—</v>
      </c>
      <c r="X26" s="13" t="str">
        <f>_xll.BDH("ALNY US Equity","BS_LT_MARKETABLE_SECURITIES","FQ2 2024","FQ2 2024","Currency=USD","Period=FQ","BEST_FPERIOD_OVERRIDE=FQ","FILING_STATUS=MR","SCALING_FORMAT=MLN","Sort=A","Dates=H","DateFormat=P","Fill=—","Direction=H","UseDPDF=Y")</f>
        <v>—</v>
      </c>
      <c r="Y26" s="13" t="str">
        <f>_xll.BDH("ALNY US Equity","BS_LT_MARKETABLE_SECURITIES","FQ3 2024","FQ3 2024","Currency=USD","Period=FQ","BEST_FPERIOD_OVERRIDE=FQ","FILING_STATUS=MR","SCALING_FORMAT=MLN","Sort=A","Dates=H","DateFormat=P","Fill=—","Direction=H","UseDPDF=Y")</f>
        <v>—</v>
      </c>
      <c r="Z26" s="13" t="str">
        <f>_xll.BDH("ALNY US Equity","BS_LT_MARKETABLE_SECURITIES","FQ4 2024","FQ4 2024","Currency=USD","Period=FQ","BEST_FPERIOD_OVERRIDE=FQ","FILING_STATUS=MR","SCALING_FORMAT=MLN","Sort=A","Dates=H","DateFormat=P","Fill=—","Direction=H","UseDPDF=Y")</f>
        <v>—</v>
      </c>
    </row>
    <row r="27" spans="1:26" x14ac:dyDescent="0.25">
      <c r="A27" s="10" t="s">
        <v>215</v>
      </c>
      <c r="B27" s="10" t="s">
        <v>216</v>
      </c>
      <c r="C27" s="13">
        <f>_xll.BDH("ALNY US Equity","BS_OTHER_ASSETS_DEF_CHRG_OTHER","FQ1 2019","FQ1 2019","Currency=USD","Period=FQ","BEST_FPERIOD_OVERRIDE=FQ","FILING_STATUS=MR","SCALING_FORMAT=MLN","Sort=A","Dates=H","DateFormat=P","Fill=—","Direction=H","UseDPDF=Y")</f>
        <v>53.862000000000002</v>
      </c>
      <c r="D27" s="13">
        <f>_xll.BDH("ALNY US Equity","BS_OTHER_ASSETS_DEF_CHRG_OTHER","FQ2 2019","FQ2 2019","Currency=USD","Period=FQ","BEST_FPERIOD_OVERRIDE=FQ","FILING_STATUS=MR","SCALING_FORMAT=MLN","Sort=A","Dates=H","DateFormat=P","Fill=—","Direction=H","UseDPDF=Y")</f>
        <v>54.512</v>
      </c>
      <c r="E27" s="13">
        <f>_xll.BDH("ALNY US Equity","BS_OTHER_ASSETS_DEF_CHRG_OTHER","FQ3 2019","FQ3 2019","Currency=USD","Period=FQ","BEST_FPERIOD_OVERRIDE=FQ","FILING_STATUS=MR","SCALING_FORMAT=MLN","Sort=A","Dates=H","DateFormat=P","Fill=—","Direction=H","UseDPDF=Y")</f>
        <v>24.457000000000001</v>
      </c>
      <c r="F27" s="13">
        <f>_xll.BDH("ALNY US Equity","BS_OTHER_ASSETS_DEF_CHRG_OTHER","FQ4 2019","FQ4 2019","Currency=USD","Period=FQ","BEST_FPERIOD_OVERRIDE=FQ","FILING_STATUS=MR","SCALING_FORMAT=MLN","Sort=A","Dates=H","DateFormat=P","Fill=—","Direction=H","UseDPDF=Y")</f>
        <v>32.893999999999998</v>
      </c>
      <c r="G27" s="13">
        <f>_xll.BDH("ALNY US Equity","BS_OTHER_ASSETS_DEF_CHRG_OTHER","FQ1 2020","FQ1 2020","Currency=USD","Period=FQ","BEST_FPERIOD_OVERRIDE=FQ","FILING_STATUS=MR","SCALING_FORMAT=MLN","Sort=A","Dates=H","DateFormat=P","Fill=—","Direction=H","UseDPDF=Y")</f>
        <v>43.756999999999998</v>
      </c>
      <c r="H27" s="13">
        <f>_xll.BDH("ALNY US Equity","BS_OTHER_ASSETS_DEF_CHRG_OTHER","FQ2 2020","FQ2 2020","Currency=USD","Period=FQ","BEST_FPERIOD_OVERRIDE=FQ","FILING_STATUS=MR","SCALING_FORMAT=MLN","Sort=A","Dates=H","DateFormat=P","Fill=—","Direction=H","UseDPDF=Y")</f>
        <v>545.12099999999998</v>
      </c>
      <c r="I27" s="13">
        <f>_xll.BDH("ALNY US Equity","BS_OTHER_ASSETS_DEF_CHRG_OTHER","FQ3 2020","FQ3 2020","Currency=USD","Period=FQ","BEST_FPERIOD_OVERRIDE=FQ","FILING_STATUS=MR","SCALING_FORMAT=MLN","Sort=A","Dates=H","DateFormat=P","Fill=—","Direction=H","UseDPDF=Y")</f>
        <v>62.656999999999996</v>
      </c>
      <c r="J27" s="13">
        <f>_xll.BDH("ALNY US Equity","BS_OTHER_ASSETS_DEF_CHRG_OTHER","FQ4 2020","FQ4 2020","Currency=USD","Period=FQ","BEST_FPERIOD_OVERRIDE=FQ","FILING_STATUS=MR","SCALING_FORMAT=MLN","Sort=A","Dates=H","DateFormat=P","Fill=—","Direction=H","UseDPDF=Y")</f>
        <v>85.77</v>
      </c>
      <c r="K27" s="13">
        <f>_xll.BDH("ALNY US Equity","BS_OTHER_ASSETS_DEF_CHRG_OTHER","FQ1 2021","FQ1 2021","Currency=USD","Period=FQ","BEST_FPERIOD_OVERRIDE=FQ","FILING_STATUS=MR","SCALING_FORMAT=MLN","Sort=A","Dates=H","DateFormat=P","Fill=—","Direction=H","UseDPDF=Y")</f>
        <v>83.400999999999996</v>
      </c>
      <c r="L27" s="13">
        <f>_xll.BDH("ALNY US Equity","BS_OTHER_ASSETS_DEF_CHRG_OTHER","FQ2 2021","FQ2 2021","Currency=USD","Period=FQ","BEST_FPERIOD_OVERRIDE=FQ","FILING_STATUS=MR","SCALING_FORMAT=MLN","Sort=A","Dates=H","DateFormat=P","Fill=—","Direction=H","UseDPDF=Y")</f>
        <v>75.477000000000004</v>
      </c>
      <c r="M27" s="13">
        <f>_xll.BDH("ALNY US Equity","BS_OTHER_ASSETS_DEF_CHRG_OTHER","FQ3 2021","FQ3 2021","Currency=USD","Period=FQ","BEST_FPERIOD_OVERRIDE=FQ","FILING_STATUS=MR","SCALING_FORMAT=MLN","Sort=A","Dates=H","DateFormat=P","Fill=—","Direction=H","UseDPDF=Y")</f>
        <v>76.156999999999996</v>
      </c>
      <c r="N27" s="13">
        <f>_xll.BDH("ALNY US Equity","BS_OTHER_ASSETS_DEF_CHRG_OTHER","FQ4 2021","FQ4 2021","Currency=USD","Period=FQ","BEST_FPERIOD_OVERRIDE=FQ","FILING_STATUS=MR","SCALING_FORMAT=MLN","Sort=A","Dates=H","DateFormat=P","Fill=—","Direction=H","UseDPDF=Y")</f>
        <v>101.095</v>
      </c>
      <c r="O27" s="13">
        <f>_xll.BDH("ALNY US Equity","BS_OTHER_ASSETS_DEF_CHRG_OTHER","FQ1 2022","FQ1 2022","Currency=USD","Period=FQ","BEST_FPERIOD_OVERRIDE=FQ","FILING_STATUS=MR","SCALING_FORMAT=MLN","Sort=A","Dates=H","DateFormat=P","Fill=—","Direction=H","UseDPDF=Y")</f>
        <v>110.71</v>
      </c>
      <c r="P27" s="13">
        <f>_xll.BDH("ALNY US Equity","BS_OTHER_ASSETS_DEF_CHRG_OTHER","FQ2 2022","FQ2 2022","Currency=USD","Period=FQ","BEST_FPERIOD_OVERRIDE=FQ","FILING_STATUS=MR","SCALING_FORMAT=MLN","Sort=A","Dates=H","DateFormat=P","Fill=—","Direction=H","UseDPDF=Y")</f>
        <v>126.657</v>
      </c>
      <c r="Q27" s="13">
        <f>_xll.BDH("ALNY US Equity","BS_OTHER_ASSETS_DEF_CHRG_OTHER","FQ3 2022","FQ3 2022","Currency=USD","Period=FQ","BEST_FPERIOD_OVERRIDE=FQ","FILING_STATUS=MR","SCALING_FORMAT=MLN","Sort=A","Dates=H","DateFormat=P","Fill=—","Direction=H","UseDPDF=Y")</f>
        <v>110.785</v>
      </c>
      <c r="R27" s="13">
        <f>_xll.BDH("ALNY US Equity","BS_OTHER_ASSETS_DEF_CHRG_OTHER","FQ4 2022","FQ4 2022","Currency=USD","Period=FQ","BEST_FPERIOD_OVERRIDE=FQ","FILING_STATUS=MR","SCALING_FORMAT=MLN","Sort=A","Dates=H","DateFormat=P","Fill=—","Direction=H","UseDPDF=Y")</f>
        <v>115.482</v>
      </c>
      <c r="S27" s="13">
        <f>_xll.BDH("ALNY US Equity","BS_OTHER_ASSETS_DEF_CHRG_OTHER","FQ1 2023","FQ1 2023","Currency=USD","Period=FQ","BEST_FPERIOD_OVERRIDE=FQ","FILING_STATUS=MR","SCALING_FORMAT=MLN","Sort=A","Dates=H","DateFormat=P","Fill=—","Direction=H","UseDPDF=Y")</f>
        <v>112.84099999999999</v>
      </c>
      <c r="T27" s="13">
        <f>_xll.BDH("ALNY US Equity","BS_OTHER_ASSETS_DEF_CHRG_OTHER","FQ2 2023","FQ2 2023","Currency=USD","Period=FQ","BEST_FPERIOD_OVERRIDE=FQ","FILING_STATUS=MR","SCALING_FORMAT=MLN","Sort=A","Dates=H","DateFormat=P","Fill=—","Direction=H","UseDPDF=Y")</f>
        <v>142.07400000000001</v>
      </c>
      <c r="U27" s="13">
        <f>_xll.BDH("ALNY US Equity","BS_OTHER_ASSETS_DEF_CHRG_OTHER","FQ3 2023","FQ3 2023","Currency=USD","Period=FQ","BEST_FPERIOD_OVERRIDE=FQ","FILING_STATUS=MR","SCALING_FORMAT=MLN","Sort=A","Dates=H","DateFormat=P","Fill=—","Direction=H","UseDPDF=Y")</f>
        <v>124.545</v>
      </c>
      <c r="V27" s="13">
        <f>_xll.BDH("ALNY US Equity","BS_OTHER_ASSETS_DEF_CHRG_OTHER","FQ4 2023","FQ4 2023","Currency=USD","Period=FQ","BEST_FPERIOD_OVERRIDE=FQ","FILING_STATUS=MR","SCALING_FORMAT=MLN","Sort=A","Dates=H","DateFormat=P","Fill=—","Direction=H","UseDPDF=Y")</f>
        <v>121.39400000000001</v>
      </c>
      <c r="W27" s="13">
        <f>_xll.BDH("ALNY US Equity","BS_OTHER_ASSETS_DEF_CHRG_OTHER","FQ1 2024","FQ1 2024","Currency=USD","Period=FQ","BEST_FPERIOD_OVERRIDE=FQ","FILING_STATUS=MR","SCALING_FORMAT=MLN","Sort=A","Dates=H","DateFormat=P","Fill=—","Direction=H","UseDPDF=Y")</f>
        <v>116.851</v>
      </c>
      <c r="X27" s="13">
        <f>_xll.BDH("ALNY US Equity","BS_OTHER_ASSETS_DEF_CHRG_OTHER","FQ2 2024","FQ2 2024","Currency=USD","Period=FQ","BEST_FPERIOD_OVERRIDE=FQ","FILING_STATUS=MR","SCALING_FORMAT=MLN","Sort=A","Dates=H","DateFormat=P","Fill=—","Direction=H","UseDPDF=Y")</f>
        <v>121.316</v>
      </c>
      <c r="Y27" s="13">
        <f>_xll.BDH("ALNY US Equity","BS_OTHER_ASSETS_DEF_CHRG_OTHER","FQ3 2024","FQ3 2024","Currency=USD","Period=FQ","BEST_FPERIOD_OVERRIDE=FQ","FILING_STATUS=MR","SCALING_FORMAT=MLN","Sort=A","Dates=H","DateFormat=P","Fill=—","Direction=H","UseDPDF=Y")</f>
        <v>146.21</v>
      </c>
      <c r="Z27" s="13">
        <f>_xll.BDH("ALNY US Equity","BS_OTHER_ASSETS_DEF_CHRG_OTHER","FQ4 2024","FQ4 2024","Currency=USD","Period=FQ","BEST_FPERIOD_OVERRIDE=FQ","FILING_STATUS=MR","SCALING_FORMAT=MLN","Sort=A","Dates=H","DateFormat=P","Fill=—","Direction=H","UseDPDF=Y")</f>
        <v>250.76599999999999</v>
      </c>
    </row>
    <row r="28" spans="1:26" x14ac:dyDescent="0.25">
      <c r="A28" s="10" t="s">
        <v>217</v>
      </c>
      <c r="B28" s="10" t="s">
        <v>218</v>
      </c>
      <c r="C28" s="13" t="str">
        <f>_xll.BDH("ALNY US Equity","BS_DISCLOSED_INTANGIBLES","FQ1 2019","FQ1 2019","Currency=USD","Period=FQ","BEST_FPERIOD_OVERRIDE=FQ","FILING_STATUS=MR","SCALING_FORMAT=MLN","Sort=A","Dates=H","DateFormat=P","Fill=—","Direction=H","UseDPDF=Y")</f>
        <v>—</v>
      </c>
      <c r="D28" s="13">
        <f>_xll.BDH("ALNY US Equity","BS_DISCLOSED_INTANGIBLES","FQ2 2019","FQ2 2019","Currency=USD","Period=FQ","BEST_FPERIOD_OVERRIDE=FQ","FILING_STATUS=MR","SCALING_FORMAT=MLN","Sort=A","Dates=H","DateFormat=P","Fill=—","Direction=H","UseDPDF=Y")</f>
        <v>0</v>
      </c>
      <c r="E28" s="13">
        <f>_xll.BDH("ALNY US Equity","BS_DISCLOSED_INTANGIBLES","FQ3 2019","FQ3 2019","Currency=USD","Period=FQ","BEST_FPERIOD_OVERRIDE=FQ","FILING_STATUS=MR","SCALING_FORMAT=MLN","Sort=A","Dates=H","DateFormat=P","Fill=—","Direction=H","UseDPDF=Y")</f>
        <v>0</v>
      </c>
      <c r="F28" s="13">
        <f>_xll.BDH("ALNY US Equity","BS_DISCLOSED_INTANGIBLES","FQ4 2019","FQ4 2019","Currency=USD","Period=FQ","BEST_FPERIOD_OVERRIDE=FQ","FILING_STATUS=MR","SCALING_FORMAT=MLN","Sort=A","Dates=H","DateFormat=P","Fill=—","Direction=H","UseDPDF=Y")</f>
        <v>0</v>
      </c>
      <c r="G28" s="13">
        <f>_xll.BDH("ALNY US Equity","BS_DISCLOSED_INTANGIBLES","FQ1 2020","FQ1 2020","Currency=USD","Period=FQ","BEST_FPERIOD_OVERRIDE=FQ","FILING_STATUS=MR","SCALING_FORMAT=MLN","Sort=A","Dates=H","DateFormat=P","Fill=—","Direction=H","UseDPDF=Y")</f>
        <v>0</v>
      </c>
      <c r="H28" s="13">
        <f>_xll.BDH("ALNY US Equity","BS_DISCLOSED_INTANGIBLES","FQ2 2020","FQ2 2020","Currency=USD","Period=FQ","BEST_FPERIOD_OVERRIDE=FQ","FILING_STATUS=MR","SCALING_FORMAT=MLN","Sort=A","Dates=H","DateFormat=P","Fill=—","Direction=H","UseDPDF=Y")</f>
        <v>0</v>
      </c>
      <c r="I28" s="13">
        <f>_xll.BDH("ALNY US Equity","BS_DISCLOSED_INTANGIBLES","FQ3 2020","FQ3 2020","Currency=USD","Period=FQ","BEST_FPERIOD_OVERRIDE=FQ","FILING_STATUS=MR","SCALING_FORMAT=MLN","Sort=A","Dates=H","DateFormat=P","Fill=—","Direction=H","UseDPDF=Y")</f>
        <v>0</v>
      </c>
      <c r="J28" s="13">
        <f>_xll.BDH("ALNY US Equity","BS_DISCLOSED_INTANGIBLES","FQ4 2020","FQ4 2020","Currency=USD","Period=FQ","BEST_FPERIOD_OVERRIDE=FQ","FILING_STATUS=MR","SCALING_FORMAT=MLN","Sort=A","Dates=H","DateFormat=P","Fill=—","Direction=H","UseDPDF=Y")</f>
        <v>0</v>
      </c>
      <c r="K28" s="13">
        <f>_xll.BDH("ALNY US Equity","BS_DISCLOSED_INTANGIBLES","FQ1 2021","FQ1 2021","Currency=USD","Period=FQ","BEST_FPERIOD_OVERRIDE=FQ","FILING_STATUS=MR","SCALING_FORMAT=MLN","Sort=A","Dates=H","DateFormat=P","Fill=—","Direction=H","UseDPDF=Y")</f>
        <v>0</v>
      </c>
      <c r="L28" s="13">
        <f>_xll.BDH("ALNY US Equity","BS_DISCLOSED_INTANGIBLES","FQ2 2021","FQ2 2021","Currency=USD","Period=FQ","BEST_FPERIOD_OVERRIDE=FQ","FILING_STATUS=MR","SCALING_FORMAT=MLN","Sort=A","Dates=H","DateFormat=P","Fill=—","Direction=H","UseDPDF=Y")</f>
        <v>0</v>
      </c>
      <c r="M28" s="13">
        <f>_xll.BDH("ALNY US Equity","BS_DISCLOSED_INTANGIBLES","FQ3 2021","FQ3 2021","Currency=USD","Period=FQ","BEST_FPERIOD_OVERRIDE=FQ","FILING_STATUS=MR","SCALING_FORMAT=MLN","Sort=A","Dates=H","DateFormat=P","Fill=—","Direction=H","UseDPDF=Y")</f>
        <v>0</v>
      </c>
      <c r="N28" s="13">
        <f>_xll.BDH("ALNY US Equity","BS_DISCLOSED_INTANGIBLES","FQ4 2021","FQ4 2021","Currency=USD","Period=FQ","BEST_FPERIOD_OVERRIDE=FQ","FILING_STATUS=MR","SCALING_FORMAT=MLN","Sort=A","Dates=H","DateFormat=P","Fill=—","Direction=H","UseDPDF=Y")</f>
        <v>0</v>
      </c>
      <c r="O28" s="13">
        <f>_xll.BDH("ALNY US Equity","BS_DISCLOSED_INTANGIBLES","FQ1 2022","FQ1 2022","Currency=USD","Period=FQ","BEST_FPERIOD_OVERRIDE=FQ","FILING_STATUS=MR","SCALING_FORMAT=MLN","Sort=A","Dates=H","DateFormat=P","Fill=—","Direction=H","UseDPDF=Y")</f>
        <v>0</v>
      </c>
      <c r="P28" s="13">
        <f>_xll.BDH("ALNY US Equity","BS_DISCLOSED_INTANGIBLES","FQ2 2022","FQ2 2022","Currency=USD","Period=FQ","BEST_FPERIOD_OVERRIDE=FQ","FILING_STATUS=MR","SCALING_FORMAT=MLN","Sort=A","Dates=H","DateFormat=P","Fill=—","Direction=H","UseDPDF=Y")</f>
        <v>0</v>
      </c>
      <c r="Q28" s="13">
        <f>_xll.BDH("ALNY US Equity","BS_DISCLOSED_INTANGIBLES","FQ3 2022","FQ3 2022","Currency=USD","Period=FQ","BEST_FPERIOD_OVERRIDE=FQ","FILING_STATUS=MR","SCALING_FORMAT=MLN","Sort=A","Dates=H","DateFormat=P","Fill=—","Direction=H","UseDPDF=Y")</f>
        <v>0</v>
      </c>
      <c r="R28" s="13">
        <f>_xll.BDH("ALNY US Equity","BS_DISCLOSED_INTANGIBLES","FQ4 2022","FQ4 2022","Currency=USD","Period=FQ","BEST_FPERIOD_OVERRIDE=FQ","FILING_STATUS=MR","SCALING_FORMAT=MLN","Sort=A","Dates=H","DateFormat=P","Fill=—","Direction=H","UseDPDF=Y")</f>
        <v>0</v>
      </c>
      <c r="S28" s="13">
        <f>_xll.BDH("ALNY US Equity","BS_DISCLOSED_INTANGIBLES","FQ1 2023","FQ1 2023","Currency=USD","Period=FQ","BEST_FPERIOD_OVERRIDE=FQ","FILING_STATUS=MR","SCALING_FORMAT=MLN","Sort=A","Dates=H","DateFormat=P","Fill=—","Direction=H","UseDPDF=Y")</f>
        <v>0</v>
      </c>
      <c r="T28" s="13">
        <f>_xll.BDH("ALNY US Equity","BS_DISCLOSED_INTANGIBLES","FQ2 2023","FQ2 2023","Currency=USD","Period=FQ","BEST_FPERIOD_OVERRIDE=FQ","FILING_STATUS=MR","SCALING_FORMAT=MLN","Sort=A","Dates=H","DateFormat=P","Fill=—","Direction=H","UseDPDF=Y")</f>
        <v>0</v>
      </c>
      <c r="U28" s="13">
        <f>_xll.BDH("ALNY US Equity","BS_DISCLOSED_INTANGIBLES","FQ3 2023","FQ3 2023","Currency=USD","Period=FQ","BEST_FPERIOD_OVERRIDE=FQ","FILING_STATUS=MR","SCALING_FORMAT=MLN","Sort=A","Dates=H","DateFormat=P","Fill=—","Direction=H","UseDPDF=Y")</f>
        <v>0</v>
      </c>
      <c r="V28" s="13">
        <f>_xll.BDH("ALNY US Equity","BS_DISCLOSED_INTANGIBLES","FQ4 2023","FQ4 2023","Currency=USD","Period=FQ","BEST_FPERIOD_OVERRIDE=FQ","FILING_STATUS=MR","SCALING_FORMAT=MLN","Sort=A","Dates=H","DateFormat=P","Fill=—","Direction=H","UseDPDF=Y")</f>
        <v>0</v>
      </c>
      <c r="W28" s="13">
        <f>_xll.BDH("ALNY US Equity","BS_DISCLOSED_INTANGIBLES","FQ1 2024","FQ1 2024","Currency=USD","Period=FQ","BEST_FPERIOD_OVERRIDE=FQ","FILING_STATUS=MR","SCALING_FORMAT=MLN","Sort=A","Dates=H","DateFormat=P","Fill=—","Direction=H","UseDPDF=Y")</f>
        <v>0</v>
      </c>
      <c r="X28" s="13">
        <f>_xll.BDH("ALNY US Equity","BS_DISCLOSED_INTANGIBLES","FQ2 2024","FQ2 2024","Currency=USD","Period=FQ","BEST_FPERIOD_OVERRIDE=FQ","FILING_STATUS=MR","SCALING_FORMAT=MLN","Sort=A","Dates=H","DateFormat=P","Fill=—","Direction=H","UseDPDF=Y")</f>
        <v>0</v>
      </c>
      <c r="Y28" s="13">
        <f>_xll.BDH("ALNY US Equity","BS_DISCLOSED_INTANGIBLES","FQ3 2024","FQ3 2024","Currency=USD","Period=FQ","BEST_FPERIOD_OVERRIDE=FQ","FILING_STATUS=MR","SCALING_FORMAT=MLN","Sort=A","Dates=H","DateFormat=P","Fill=—","Direction=H","UseDPDF=Y")</f>
        <v>0</v>
      </c>
      <c r="Z28" s="13">
        <f>_xll.BDH("ALNY US Equity","BS_DISCLOSED_INTANGIBLES","FQ4 2024","FQ4 2024","Currency=USD","Period=FQ","BEST_FPERIOD_OVERRIDE=FQ","FILING_STATUS=MR","SCALING_FORMAT=MLN","Sort=A","Dates=H","DateFormat=P","Fill=—","Direction=H","UseDPDF=Y")</f>
        <v>0</v>
      </c>
    </row>
    <row r="29" spans="1:26" x14ac:dyDescent="0.25">
      <c r="A29" s="11" t="s">
        <v>219</v>
      </c>
      <c r="B29" s="11" t="s">
        <v>220</v>
      </c>
      <c r="C29" s="18" t="str">
        <f>_xll.BDH("ALNY US Equity","BS_GOODWILL","FQ1 2019","FQ1 2019","Currency=USD","Period=FQ","BEST_FPERIOD_OVERRIDE=FQ","FILING_STATUS=MR","SCALING_FORMAT=MLN","Sort=A","Dates=H","DateFormat=P","Fill=—","Direction=H","UseDPDF=Y")</f>
        <v>—</v>
      </c>
      <c r="D29" s="18" t="str">
        <f>_xll.BDH("ALNY US Equity","BS_GOODWILL","FQ2 2019","FQ2 2019","Currency=USD","Period=FQ","BEST_FPERIOD_OVERRIDE=FQ","FILING_STATUS=MR","SCALING_FORMAT=MLN","Sort=A","Dates=H","DateFormat=P","Fill=—","Direction=H","UseDPDF=Y")</f>
        <v>—</v>
      </c>
      <c r="E29" s="18" t="str">
        <f>_xll.BDH("ALNY US Equity","BS_GOODWILL","FQ3 2019","FQ3 2019","Currency=USD","Period=FQ","BEST_FPERIOD_OVERRIDE=FQ","FILING_STATUS=MR","SCALING_FORMAT=MLN","Sort=A","Dates=H","DateFormat=P","Fill=—","Direction=H","UseDPDF=Y")</f>
        <v>—</v>
      </c>
      <c r="F29" s="18">
        <f>_xll.BDH("ALNY US Equity","BS_GOODWILL","FQ4 2019","FQ4 2019","Currency=USD","Period=FQ","BEST_FPERIOD_OVERRIDE=FQ","FILING_STATUS=MR","SCALING_FORMAT=MLN","Sort=A","Dates=H","DateFormat=P","Fill=—","Direction=H","UseDPDF=Y")</f>
        <v>0</v>
      </c>
      <c r="G29" s="18" t="str">
        <f>_xll.BDH("ALNY US Equity","BS_GOODWILL","FQ1 2020","FQ1 2020","Currency=USD","Period=FQ","BEST_FPERIOD_OVERRIDE=FQ","FILING_STATUS=MR","SCALING_FORMAT=MLN","Sort=A","Dates=H","DateFormat=P","Fill=—","Direction=H","UseDPDF=Y")</f>
        <v>—</v>
      </c>
      <c r="H29" s="18" t="str">
        <f>_xll.BDH("ALNY US Equity","BS_GOODWILL","FQ2 2020","FQ2 2020","Currency=USD","Period=FQ","BEST_FPERIOD_OVERRIDE=FQ","FILING_STATUS=MR","SCALING_FORMAT=MLN","Sort=A","Dates=H","DateFormat=P","Fill=—","Direction=H","UseDPDF=Y")</f>
        <v>—</v>
      </c>
      <c r="I29" s="18" t="str">
        <f>_xll.BDH("ALNY US Equity","BS_GOODWILL","FQ3 2020","FQ3 2020","Currency=USD","Period=FQ","BEST_FPERIOD_OVERRIDE=FQ","FILING_STATUS=MR","SCALING_FORMAT=MLN","Sort=A","Dates=H","DateFormat=P","Fill=—","Direction=H","UseDPDF=Y")</f>
        <v>—</v>
      </c>
      <c r="J29" s="18">
        <f>_xll.BDH("ALNY US Equity","BS_GOODWILL","FQ4 2020","FQ4 2020","Currency=USD","Period=FQ","BEST_FPERIOD_OVERRIDE=FQ","FILING_STATUS=MR","SCALING_FORMAT=MLN","Sort=A","Dates=H","DateFormat=P","Fill=—","Direction=H","UseDPDF=Y")</f>
        <v>0</v>
      </c>
      <c r="K29" s="18" t="str">
        <f>_xll.BDH("ALNY US Equity","BS_GOODWILL","FQ1 2021","FQ1 2021","Currency=USD","Period=FQ","BEST_FPERIOD_OVERRIDE=FQ","FILING_STATUS=MR","SCALING_FORMAT=MLN","Sort=A","Dates=H","DateFormat=P","Fill=—","Direction=H","UseDPDF=Y")</f>
        <v>—</v>
      </c>
      <c r="L29" s="18" t="str">
        <f>_xll.BDH("ALNY US Equity","BS_GOODWILL","FQ2 2021","FQ2 2021","Currency=USD","Period=FQ","BEST_FPERIOD_OVERRIDE=FQ","FILING_STATUS=MR","SCALING_FORMAT=MLN","Sort=A","Dates=H","DateFormat=P","Fill=—","Direction=H","UseDPDF=Y")</f>
        <v>—</v>
      </c>
      <c r="M29" s="18" t="str">
        <f>_xll.BDH("ALNY US Equity","BS_GOODWILL","FQ3 2021","FQ3 2021","Currency=USD","Period=FQ","BEST_FPERIOD_OVERRIDE=FQ","FILING_STATUS=MR","SCALING_FORMAT=MLN","Sort=A","Dates=H","DateFormat=P","Fill=—","Direction=H","UseDPDF=Y")</f>
        <v>—</v>
      </c>
      <c r="N29" s="18">
        <f>_xll.BDH("ALNY US Equity","BS_GOODWILL","FQ4 2021","FQ4 2021","Currency=USD","Period=FQ","BEST_FPERIOD_OVERRIDE=FQ","FILING_STATUS=MR","SCALING_FORMAT=MLN","Sort=A","Dates=H","DateFormat=P","Fill=—","Direction=H","UseDPDF=Y")</f>
        <v>0</v>
      </c>
      <c r="O29" s="18" t="str">
        <f>_xll.BDH("ALNY US Equity","BS_GOODWILL","FQ1 2022","FQ1 2022","Currency=USD","Period=FQ","BEST_FPERIOD_OVERRIDE=FQ","FILING_STATUS=MR","SCALING_FORMAT=MLN","Sort=A","Dates=H","DateFormat=P","Fill=—","Direction=H","UseDPDF=Y")</f>
        <v>—</v>
      </c>
      <c r="P29" s="18" t="str">
        <f>_xll.BDH("ALNY US Equity","BS_GOODWILL","FQ2 2022","FQ2 2022","Currency=USD","Period=FQ","BEST_FPERIOD_OVERRIDE=FQ","FILING_STATUS=MR","SCALING_FORMAT=MLN","Sort=A","Dates=H","DateFormat=P","Fill=—","Direction=H","UseDPDF=Y")</f>
        <v>—</v>
      </c>
      <c r="Q29" s="18" t="str">
        <f>_xll.BDH("ALNY US Equity","BS_GOODWILL","FQ3 2022","FQ3 2022","Currency=USD","Period=FQ","BEST_FPERIOD_OVERRIDE=FQ","FILING_STATUS=MR","SCALING_FORMAT=MLN","Sort=A","Dates=H","DateFormat=P","Fill=—","Direction=H","UseDPDF=Y")</f>
        <v>—</v>
      </c>
      <c r="R29" s="18">
        <f>_xll.BDH("ALNY US Equity","BS_GOODWILL","FQ4 2022","FQ4 2022","Currency=USD","Period=FQ","BEST_FPERIOD_OVERRIDE=FQ","FILING_STATUS=MR","SCALING_FORMAT=MLN","Sort=A","Dates=H","DateFormat=P","Fill=—","Direction=H","UseDPDF=Y")</f>
        <v>0</v>
      </c>
      <c r="S29" s="18" t="str">
        <f>_xll.BDH("ALNY US Equity","BS_GOODWILL","FQ1 2023","FQ1 2023","Currency=USD","Period=FQ","BEST_FPERIOD_OVERRIDE=FQ","FILING_STATUS=MR","SCALING_FORMAT=MLN","Sort=A","Dates=H","DateFormat=P","Fill=—","Direction=H","UseDPDF=Y")</f>
        <v>—</v>
      </c>
      <c r="T29" s="18" t="str">
        <f>_xll.BDH("ALNY US Equity","BS_GOODWILL","FQ2 2023","FQ2 2023","Currency=USD","Period=FQ","BEST_FPERIOD_OVERRIDE=FQ","FILING_STATUS=MR","SCALING_FORMAT=MLN","Sort=A","Dates=H","DateFormat=P","Fill=—","Direction=H","UseDPDF=Y")</f>
        <v>—</v>
      </c>
      <c r="U29" s="18" t="str">
        <f>_xll.BDH("ALNY US Equity","BS_GOODWILL","FQ3 2023","FQ3 2023","Currency=USD","Period=FQ","BEST_FPERIOD_OVERRIDE=FQ","FILING_STATUS=MR","SCALING_FORMAT=MLN","Sort=A","Dates=H","DateFormat=P","Fill=—","Direction=H","UseDPDF=Y")</f>
        <v>—</v>
      </c>
      <c r="V29" s="18">
        <f>_xll.BDH("ALNY US Equity","BS_GOODWILL","FQ4 2023","FQ4 2023","Currency=USD","Period=FQ","BEST_FPERIOD_OVERRIDE=FQ","FILING_STATUS=MR","SCALING_FORMAT=MLN","Sort=A","Dates=H","DateFormat=P","Fill=—","Direction=H","UseDPDF=Y")</f>
        <v>0</v>
      </c>
      <c r="W29" s="18" t="str">
        <f>_xll.BDH("ALNY US Equity","BS_GOODWILL","FQ1 2024","FQ1 2024","Currency=USD","Period=FQ","BEST_FPERIOD_OVERRIDE=FQ","FILING_STATUS=MR","SCALING_FORMAT=MLN","Sort=A","Dates=H","DateFormat=P","Fill=—","Direction=H","UseDPDF=Y")</f>
        <v>—</v>
      </c>
      <c r="X29" s="18" t="str">
        <f>_xll.BDH("ALNY US Equity","BS_GOODWILL","FQ2 2024","FQ2 2024","Currency=USD","Period=FQ","BEST_FPERIOD_OVERRIDE=FQ","FILING_STATUS=MR","SCALING_FORMAT=MLN","Sort=A","Dates=H","DateFormat=P","Fill=—","Direction=H","UseDPDF=Y")</f>
        <v>—</v>
      </c>
      <c r="Y29" s="18" t="str">
        <f>_xll.BDH("ALNY US Equity","BS_GOODWILL","FQ3 2024","FQ3 2024","Currency=USD","Period=FQ","BEST_FPERIOD_OVERRIDE=FQ","FILING_STATUS=MR","SCALING_FORMAT=MLN","Sort=A","Dates=H","DateFormat=P","Fill=—","Direction=H","UseDPDF=Y")</f>
        <v>—</v>
      </c>
      <c r="Z29" s="18">
        <f>_xll.BDH("ALNY US Equity","BS_GOODWILL","FQ4 2024","FQ4 2024","Currency=USD","Period=FQ","BEST_FPERIOD_OVERRIDE=FQ","FILING_STATUS=MR","SCALING_FORMAT=MLN","Sort=A","Dates=H","DateFormat=P","Fill=—","Direction=H","UseDPDF=Y")</f>
        <v>0</v>
      </c>
    </row>
    <row r="30" spans="1:26" x14ac:dyDescent="0.25">
      <c r="A30" s="11" t="s">
        <v>221</v>
      </c>
      <c r="B30" s="11" t="s">
        <v>222</v>
      </c>
      <c r="C30" s="18">
        <f>_xll.BDH("ALNY US Equity","OTHER_INTANGIBLE_ASSETS_DETAILED","FQ1 2019","FQ1 2019","Currency=USD","Period=FQ","BEST_FPERIOD_OVERRIDE=FQ","FILING_STATUS=MR","SCALING_FORMAT=MLN","Sort=A","Dates=H","DateFormat=P","Fill=—","Direction=H","UseDPDF=Y")</f>
        <v>0</v>
      </c>
      <c r="D30" s="18">
        <f>_xll.BDH("ALNY US Equity","OTHER_INTANGIBLE_ASSETS_DETAILED","FQ2 2019","FQ2 2019","Currency=USD","Period=FQ","BEST_FPERIOD_OVERRIDE=FQ","FILING_STATUS=MR","SCALING_FORMAT=MLN","Sort=A","Dates=H","DateFormat=P","Fill=—","Direction=H","UseDPDF=Y")</f>
        <v>0</v>
      </c>
      <c r="E30" s="18">
        <f>_xll.BDH("ALNY US Equity","OTHER_INTANGIBLE_ASSETS_DETAILED","FQ3 2019","FQ3 2019","Currency=USD","Period=FQ","BEST_FPERIOD_OVERRIDE=FQ","FILING_STATUS=MR","SCALING_FORMAT=MLN","Sort=A","Dates=H","DateFormat=P","Fill=—","Direction=H","UseDPDF=Y")</f>
        <v>0</v>
      </c>
      <c r="F30" s="18">
        <f>_xll.BDH("ALNY US Equity","OTHER_INTANGIBLE_ASSETS_DETAILED","FQ4 2019","FQ4 2019","Currency=USD","Period=FQ","BEST_FPERIOD_OVERRIDE=FQ","FILING_STATUS=MR","SCALING_FORMAT=MLN","Sort=A","Dates=H","DateFormat=P","Fill=—","Direction=H","UseDPDF=Y")</f>
        <v>0</v>
      </c>
      <c r="G30" s="18">
        <f>_xll.BDH("ALNY US Equity","OTHER_INTANGIBLE_ASSETS_DETAILED","FQ1 2020","FQ1 2020","Currency=USD","Period=FQ","BEST_FPERIOD_OVERRIDE=FQ","FILING_STATUS=MR","SCALING_FORMAT=MLN","Sort=A","Dates=H","DateFormat=P","Fill=—","Direction=H","UseDPDF=Y")</f>
        <v>0</v>
      </c>
      <c r="H30" s="18">
        <f>_xll.BDH("ALNY US Equity","OTHER_INTANGIBLE_ASSETS_DETAILED","FQ2 2020","FQ2 2020","Currency=USD","Period=FQ","BEST_FPERIOD_OVERRIDE=FQ","FILING_STATUS=MR","SCALING_FORMAT=MLN","Sort=A","Dates=H","DateFormat=P","Fill=—","Direction=H","UseDPDF=Y")</f>
        <v>0</v>
      </c>
      <c r="I30" s="18">
        <f>_xll.BDH("ALNY US Equity","OTHER_INTANGIBLE_ASSETS_DETAILED","FQ3 2020","FQ3 2020","Currency=USD","Period=FQ","BEST_FPERIOD_OVERRIDE=FQ","FILING_STATUS=MR","SCALING_FORMAT=MLN","Sort=A","Dates=H","DateFormat=P","Fill=—","Direction=H","UseDPDF=Y")</f>
        <v>0</v>
      </c>
      <c r="J30" s="18">
        <f>_xll.BDH("ALNY US Equity","OTHER_INTANGIBLE_ASSETS_DETAILED","FQ4 2020","FQ4 2020","Currency=USD","Period=FQ","BEST_FPERIOD_OVERRIDE=FQ","FILING_STATUS=MR","SCALING_FORMAT=MLN","Sort=A","Dates=H","DateFormat=P","Fill=—","Direction=H","UseDPDF=Y")</f>
        <v>0</v>
      </c>
      <c r="K30" s="18">
        <f>_xll.BDH("ALNY US Equity","OTHER_INTANGIBLE_ASSETS_DETAILED","FQ1 2021","FQ1 2021","Currency=USD","Period=FQ","BEST_FPERIOD_OVERRIDE=FQ","FILING_STATUS=MR","SCALING_FORMAT=MLN","Sort=A","Dates=H","DateFormat=P","Fill=—","Direction=H","UseDPDF=Y")</f>
        <v>0</v>
      </c>
      <c r="L30" s="18">
        <f>_xll.BDH("ALNY US Equity","OTHER_INTANGIBLE_ASSETS_DETAILED","FQ2 2021","FQ2 2021","Currency=USD","Period=FQ","BEST_FPERIOD_OVERRIDE=FQ","FILING_STATUS=MR","SCALING_FORMAT=MLN","Sort=A","Dates=H","DateFormat=P","Fill=—","Direction=H","UseDPDF=Y")</f>
        <v>0</v>
      </c>
      <c r="M30" s="18">
        <f>_xll.BDH("ALNY US Equity","OTHER_INTANGIBLE_ASSETS_DETAILED","FQ3 2021","FQ3 2021","Currency=USD","Period=FQ","BEST_FPERIOD_OVERRIDE=FQ","FILING_STATUS=MR","SCALING_FORMAT=MLN","Sort=A","Dates=H","DateFormat=P","Fill=—","Direction=H","UseDPDF=Y")</f>
        <v>0</v>
      </c>
      <c r="N30" s="18">
        <f>_xll.BDH("ALNY US Equity","OTHER_INTANGIBLE_ASSETS_DETAILED","FQ4 2021","FQ4 2021","Currency=USD","Period=FQ","BEST_FPERIOD_OVERRIDE=FQ","FILING_STATUS=MR","SCALING_FORMAT=MLN","Sort=A","Dates=H","DateFormat=P","Fill=—","Direction=H","UseDPDF=Y")</f>
        <v>0</v>
      </c>
      <c r="O30" s="18">
        <f>_xll.BDH("ALNY US Equity","OTHER_INTANGIBLE_ASSETS_DETAILED","FQ1 2022","FQ1 2022","Currency=USD","Period=FQ","BEST_FPERIOD_OVERRIDE=FQ","FILING_STATUS=MR","SCALING_FORMAT=MLN","Sort=A","Dates=H","DateFormat=P","Fill=—","Direction=H","UseDPDF=Y")</f>
        <v>0</v>
      </c>
      <c r="P30" s="18">
        <f>_xll.BDH("ALNY US Equity","OTHER_INTANGIBLE_ASSETS_DETAILED","FQ2 2022","FQ2 2022","Currency=USD","Period=FQ","BEST_FPERIOD_OVERRIDE=FQ","FILING_STATUS=MR","SCALING_FORMAT=MLN","Sort=A","Dates=H","DateFormat=P","Fill=—","Direction=H","UseDPDF=Y")</f>
        <v>0</v>
      </c>
      <c r="Q30" s="18">
        <f>_xll.BDH("ALNY US Equity","OTHER_INTANGIBLE_ASSETS_DETAILED","FQ3 2022","FQ3 2022","Currency=USD","Period=FQ","BEST_FPERIOD_OVERRIDE=FQ","FILING_STATUS=MR","SCALING_FORMAT=MLN","Sort=A","Dates=H","DateFormat=P","Fill=—","Direction=H","UseDPDF=Y")</f>
        <v>0</v>
      </c>
      <c r="R30" s="18">
        <f>_xll.BDH("ALNY US Equity","OTHER_INTANGIBLE_ASSETS_DETAILED","FQ4 2022","FQ4 2022","Currency=USD","Period=FQ","BEST_FPERIOD_OVERRIDE=FQ","FILING_STATUS=MR","SCALING_FORMAT=MLN","Sort=A","Dates=H","DateFormat=P","Fill=—","Direction=H","UseDPDF=Y")</f>
        <v>0</v>
      </c>
      <c r="S30" s="18">
        <f>_xll.BDH("ALNY US Equity","OTHER_INTANGIBLE_ASSETS_DETAILED","FQ1 2023","FQ1 2023","Currency=USD","Period=FQ","BEST_FPERIOD_OVERRIDE=FQ","FILING_STATUS=MR","SCALING_FORMAT=MLN","Sort=A","Dates=H","DateFormat=P","Fill=—","Direction=H","UseDPDF=Y")</f>
        <v>0</v>
      </c>
      <c r="T30" s="18">
        <f>_xll.BDH("ALNY US Equity","OTHER_INTANGIBLE_ASSETS_DETAILED","FQ2 2023","FQ2 2023","Currency=USD","Period=FQ","BEST_FPERIOD_OVERRIDE=FQ","FILING_STATUS=MR","SCALING_FORMAT=MLN","Sort=A","Dates=H","DateFormat=P","Fill=—","Direction=H","UseDPDF=Y")</f>
        <v>0</v>
      </c>
      <c r="U30" s="18">
        <f>_xll.BDH("ALNY US Equity","OTHER_INTANGIBLE_ASSETS_DETAILED","FQ3 2023","FQ3 2023","Currency=USD","Period=FQ","BEST_FPERIOD_OVERRIDE=FQ","FILING_STATUS=MR","SCALING_FORMAT=MLN","Sort=A","Dates=H","DateFormat=P","Fill=—","Direction=H","UseDPDF=Y")</f>
        <v>0</v>
      </c>
      <c r="V30" s="18">
        <f>_xll.BDH("ALNY US Equity","OTHER_INTANGIBLE_ASSETS_DETAILED","FQ4 2023","FQ4 2023","Currency=USD","Period=FQ","BEST_FPERIOD_OVERRIDE=FQ","FILING_STATUS=MR","SCALING_FORMAT=MLN","Sort=A","Dates=H","DateFormat=P","Fill=—","Direction=H","UseDPDF=Y")</f>
        <v>0</v>
      </c>
      <c r="W30" s="18">
        <f>_xll.BDH("ALNY US Equity","OTHER_INTANGIBLE_ASSETS_DETAILED","FQ1 2024","FQ1 2024","Currency=USD","Period=FQ","BEST_FPERIOD_OVERRIDE=FQ","FILING_STATUS=MR","SCALING_FORMAT=MLN","Sort=A","Dates=H","DateFormat=P","Fill=—","Direction=H","UseDPDF=Y")</f>
        <v>0</v>
      </c>
      <c r="X30" s="18">
        <f>_xll.BDH("ALNY US Equity","OTHER_INTANGIBLE_ASSETS_DETAILED","FQ2 2024","FQ2 2024","Currency=USD","Period=FQ","BEST_FPERIOD_OVERRIDE=FQ","FILING_STATUS=MR","SCALING_FORMAT=MLN","Sort=A","Dates=H","DateFormat=P","Fill=—","Direction=H","UseDPDF=Y")</f>
        <v>0</v>
      </c>
      <c r="Y30" s="18">
        <f>_xll.BDH("ALNY US Equity","OTHER_INTANGIBLE_ASSETS_DETAILED","FQ3 2024","FQ3 2024","Currency=USD","Period=FQ","BEST_FPERIOD_OVERRIDE=FQ","FILING_STATUS=MR","SCALING_FORMAT=MLN","Sort=A","Dates=H","DateFormat=P","Fill=—","Direction=H","UseDPDF=Y")</f>
        <v>0</v>
      </c>
      <c r="Z30" s="18">
        <f>_xll.BDH("ALNY US Equity","OTHER_INTANGIBLE_ASSETS_DETAILED","FQ4 2024","FQ4 2024","Currency=USD","Period=FQ","BEST_FPERIOD_OVERRIDE=FQ","FILING_STATUS=MR","SCALING_FORMAT=MLN","Sort=A","Dates=H","DateFormat=P","Fill=—","Direction=H","UseDPDF=Y")</f>
        <v>0</v>
      </c>
    </row>
    <row r="31" spans="1:26" x14ac:dyDescent="0.25">
      <c r="A31" s="10" t="s">
        <v>223</v>
      </c>
      <c r="B31" s="10" t="s">
        <v>224</v>
      </c>
      <c r="C31" s="13" t="str">
        <f>_xll.BDH("ALNY US Equity","BS_DEFERRED_TAX_ASSETS_LT","FQ1 2019","FQ1 2019","Currency=USD","Period=FQ","BEST_FPERIOD_OVERRIDE=FQ","FILING_STATUS=MR","SCALING_FORMAT=MLN","Sort=A","Dates=H","DateFormat=P","Fill=—","Direction=H","UseDPDF=Y")</f>
        <v>—</v>
      </c>
      <c r="D31" s="13" t="str">
        <f>_xll.BDH("ALNY US Equity","BS_DEFERRED_TAX_ASSETS_LT","FQ2 2019","FQ2 2019","Currency=USD","Period=FQ","BEST_FPERIOD_OVERRIDE=FQ","FILING_STATUS=MR","SCALING_FORMAT=MLN","Sort=A","Dates=H","DateFormat=P","Fill=—","Direction=H","UseDPDF=Y")</f>
        <v>—</v>
      </c>
      <c r="E31" s="13" t="str">
        <f>_xll.BDH("ALNY US Equity","BS_DEFERRED_TAX_ASSETS_LT","FQ3 2019","FQ3 2019","Currency=USD","Period=FQ","BEST_FPERIOD_OVERRIDE=FQ","FILING_STATUS=MR","SCALING_FORMAT=MLN","Sort=A","Dates=H","DateFormat=P","Fill=—","Direction=H","UseDPDF=Y")</f>
        <v>—</v>
      </c>
      <c r="F31" s="13" t="str">
        <f>_xll.BDH("ALNY US Equity","BS_DEFERRED_TAX_ASSETS_LT","FQ4 2019","FQ4 2019","Currency=USD","Period=FQ","BEST_FPERIOD_OVERRIDE=FQ","FILING_STATUS=MR","SCALING_FORMAT=MLN","Sort=A","Dates=H","DateFormat=P","Fill=—","Direction=H","UseDPDF=Y")</f>
        <v>—</v>
      </c>
      <c r="G31" s="13" t="str">
        <f>_xll.BDH("ALNY US Equity","BS_DEFERRED_TAX_ASSETS_LT","FQ1 2020","FQ1 2020","Currency=USD","Period=FQ","BEST_FPERIOD_OVERRIDE=FQ","FILING_STATUS=MR","SCALING_FORMAT=MLN","Sort=A","Dates=H","DateFormat=P","Fill=—","Direction=H","UseDPDF=Y")</f>
        <v>—</v>
      </c>
      <c r="H31" s="13" t="str">
        <f>_xll.BDH("ALNY US Equity","BS_DEFERRED_TAX_ASSETS_LT","FQ2 2020","FQ2 2020","Currency=USD","Period=FQ","BEST_FPERIOD_OVERRIDE=FQ","FILING_STATUS=MR","SCALING_FORMAT=MLN","Sort=A","Dates=H","DateFormat=P","Fill=—","Direction=H","UseDPDF=Y")</f>
        <v>—</v>
      </c>
      <c r="I31" s="13" t="str">
        <f>_xll.BDH("ALNY US Equity","BS_DEFERRED_TAX_ASSETS_LT","FQ3 2020","FQ3 2020","Currency=USD","Period=FQ","BEST_FPERIOD_OVERRIDE=FQ","FILING_STATUS=MR","SCALING_FORMAT=MLN","Sort=A","Dates=H","DateFormat=P","Fill=—","Direction=H","UseDPDF=Y")</f>
        <v>—</v>
      </c>
      <c r="J31" s="13" t="str">
        <f>_xll.BDH("ALNY US Equity","BS_DEFERRED_TAX_ASSETS_LT","FQ4 2020","FQ4 2020","Currency=USD","Period=FQ","BEST_FPERIOD_OVERRIDE=FQ","FILING_STATUS=MR","SCALING_FORMAT=MLN","Sort=A","Dates=H","DateFormat=P","Fill=—","Direction=H","UseDPDF=Y")</f>
        <v>—</v>
      </c>
      <c r="K31" s="13" t="str">
        <f>_xll.BDH("ALNY US Equity","BS_DEFERRED_TAX_ASSETS_LT","FQ1 2021","FQ1 2021","Currency=USD","Period=FQ","BEST_FPERIOD_OVERRIDE=FQ","FILING_STATUS=MR","SCALING_FORMAT=MLN","Sort=A","Dates=H","DateFormat=P","Fill=—","Direction=H","UseDPDF=Y")</f>
        <v>—</v>
      </c>
      <c r="L31" s="13" t="str">
        <f>_xll.BDH("ALNY US Equity","BS_DEFERRED_TAX_ASSETS_LT","FQ2 2021","FQ2 2021","Currency=USD","Period=FQ","BEST_FPERIOD_OVERRIDE=FQ","FILING_STATUS=MR","SCALING_FORMAT=MLN","Sort=A","Dates=H","DateFormat=P","Fill=—","Direction=H","UseDPDF=Y")</f>
        <v>—</v>
      </c>
      <c r="M31" s="13" t="str">
        <f>_xll.BDH("ALNY US Equity","BS_DEFERRED_TAX_ASSETS_LT","FQ3 2021","FQ3 2021","Currency=USD","Period=FQ","BEST_FPERIOD_OVERRIDE=FQ","FILING_STATUS=MR","SCALING_FORMAT=MLN","Sort=A","Dates=H","DateFormat=P","Fill=—","Direction=H","UseDPDF=Y")</f>
        <v>—</v>
      </c>
      <c r="N31" s="13" t="str">
        <f>_xll.BDH("ALNY US Equity","BS_DEFERRED_TAX_ASSETS_LT","FQ4 2021","FQ4 2021","Currency=USD","Period=FQ","BEST_FPERIOD_OVERRIDE=FQ","FILING_STATUS=MR","SCALING_FORMAT=MLN","Sort=A","Dates=H","DateFormat=P","Fill=—","Direction=H","UseDPDF=Y")</f>
        <v>—</v>
      </c>
      <c r="O31" s="13" t="str">
        <f>_xll.BDH("ALNY US Equity","BS_DEFERRED_TAX_ASSETS_LT","FQ1 2022","FQ1 2022","Currency=USD","Period=FQ","BEST_FPERIOD_OVERRIDE=FQ","FILING_STATUS=MR","SCALING_FORMAT=MLN","Sort=A","Dates=H","DateFormat=P","Fill=—","Direction=H","UseDPDF=Y")</f>
        <v>—</v>
      </c>
      <c r="P31" s="13" t="str">
        <f>_xll.BDH("ALNY US Equity","BS_DEFERRED_TAX_ASSETS_LT","FQ2 2022","FQ2 2022","Currency=USD","Period=FQ","BEST_FPERIOD_OVERRIDE=FQ","FILING_STATUS=MR","SCALING_FORMAT=MLN","Sort=A","Dates=H","DateFormat=P","Fill=—","Direction=H","UseDPDF=Y")</f>
        <v>—</v>
      </c>
      <c r="Q31" s="13" t="str">
        <f>_xll.BDH("ALNY US Equity","BS_DEFERRED_TAX_ASSETS_LT","FQ3 2022","FQ3 2022","Currency=USD","Period=FQ","BEST_FPERIOD_OVERRIDE=FQ","FILING_STATUS=MR","SCALING_FORMAT=MLN","Sort=A","Dates=H","DateFormat=P","Fill=—","Direction=H","UseDPDF=Y")</f>
        <v>—</v>
      </c>
      <c r="R31" s="13" t="str">
        <f>_xll.BDH("ALNY US Equity","BS_DEFERRED_TAX_ASSETS_LT","FQ4 2022","FQ4 2022","Currency=USD","Period=FQ","BEST_FPERIOD_OVERRIDE=FQ","FILING_STATUS=MR","SCALING_FORMAT=MLN","Sort=A","Dates=H","DateFormat=P","Fill=—","Direction=H","UseDPDF=Y")</f>
        <v>—</v>
      </c>
      <c r="S31" s="13" t="str">
        <f>_xll.BDH("ALNY US Equity","BS_DEFERRED_TAX_ASSETS_LT","FQ1 2023","FQ1 2023","Currency=USD","Period=FQ","BEST_FPERIOD_OVERRIDE=FQ","FILING_STATUS=MR","SCALING_FORMAT=MLN","Sort=A","Dates=H","DateFormat=P","Fill=—","Direction=H","UseDPDF=Y")</f>
        <v>—</v>
      </c>
      <c r="T31" s="13" t="str">
        <f>_xll.BDH("ALNY US Equity","BS_DEFERRED_TAX_ASSETS_LT","FQ2 2023","FQ2 2023","Currency=USD","Period=FQ","BEST_FPERIOD_OVERRIDE=FQ","FILING_STATUS=MR","SCALING_FORMAT=MLN","Sort=A","Dates=H","DateFormat=P","Fill=—","Direction=H","UseDPDF=Y")</f>
        <v>—</v>
      </c>
      <c r="U31" s="13" t="str">
        <f>_xll.BDH("ALNY US Equity","BS_DEFERRED_TAX_ASSETS_LT","FQ3 2023","FQ3 2023","Currency=USD","Period=FQ","BEST_FPERIOD_OVERRIDE=FQ","FILING_STATUS=MR","SCALING_FORMAT=MLN","Sort=A","Dates=H","DateFormat=P","Fill=—","Direction=H","UseDPDF=Y")</f>
        <v>—</v>
      </c>
      <c r="V31" s="13" t="str">
        <f>_xll.BDH("ALNY US Equity","BS_DEFERRED_TAX_ASSETS_LT","FQ4 2023","FQ4 2023","Currency=USD","Period=FQ","BEST_FPERIOD_OVERRIDE=FQ","FILING_STATUS=MR","SCALING_FORMAT=MLN","Sort=A","Dates=H","DateFormat=P","Fill=—","Direction=H","UseDPDF=Y")</f>
        <v>—</v>
      </c>
      <c r="W31" s="13" t="str">
        <f>_xll.BDH("ALNY US Equity","BS_DEFERRED_TAX_ASSETS_LT","FQ1 2024","FQ1 2024","Currency=USD","Period=FQ","BEST_FPERIOD_OVERRIDE=FQ","FILING_STATUS=MR","SCALING_FORMAT=MLN","Sort=A","Dates=H","DateFormat=P","Fill=—","Direction=H","UseDPDF=Y")</f>
        <v>—</v>
      </c>
      <c r="X31" s="13" t="str">
        <f>_xll.BDH("ALNY US Equity","BS_DEFERRED_TAX_ASSETS_LT","FQ2 2024","FQ2 2024","Currency=USD","Period=FQ","BEST_FPERIOD_OVERRIDE=FQ","FILING_STATUS=MR","SCALING_FORMAT=MLN","Sort=A","Dates=H","DateFormat=P","Fill=—","Direction=H","UseDPDF=Y")</f>
        <v>—</v>
      </c>
      <c r="Y31" s="13" t="str">
        <f>_xll.BDH("ALNY US Equity","BS_DEFERRED_TAX_ASSETS_LT","FQ3 2024","FQ3 2024","Currency=USD","Period=FQ","BEST_FPERIOD_OVERRIDE=FQ","FILING_STATUS=MR","SCALING_FORMAT=MLN","Sort=A","Dates=H","DateFormat=P","Fill=—","Direction=H","UseDPDF=Y")</f>
        <v>—</v>
      </c>
      <c r="Z31" s="13">
        <f>_xll.BDH("ALNY US Equity","BS_DEFERRED_TAX_ASSETS_LT","FQ4 2024","FQ4 2024","Currency=USD","Period=FQ","BEST_FPERIOD_OVERRIDE=FQ","FILING_STATUS=MR","SCALING_FORMAT=MLN","Sort=A","Dates=H","DateFormat=P","Fill=—","Direction=H","UseDPDF=Y")</f>
        <v>116.863</v>
      </c>
    </row>
    <row r="32" spans="1:26" x14ac:dyDescent="0.25">
      <c r="A32" s="10" t="s">
        <v>199</v>
      </c>
      <c r="B32" s="10" t="s">
        <v>225</v>
      </c>
      <c r="C32" s="13" t="str">
        <f>_xll.BDH("ALNY US Equity","BS_DERIV_HEDGING_ASST_LT","FQ1 2019","FQ1 2019","Currency=USD","Period=FQ","BEST_FPERIOD_OVERRIDE=FQ","FILING_STATUS=MR","SCALING_FORMAT=MLN","Sort=A","Dates=H","DateFormat=P","Fill=—","Direction=H","UseDPDF=Y")</f>
        <v>—</v>
      </c>
      <c r="D32" s="13" t="str">
        <f>_xll.BDH("ALNY US Equity","BS_DERIV_HEDGING_ASST_LT","FQ2 2019","FQ2 2019","Currency=USD","Period=FQ","BEST_FPERIOD_OVERRIDE=FQ","FILING_STATUS=MR","SCALING_FORMAT=MLN","Sort=A","Dates=H","DateFormat=P","Fill=—","Direction=H","UseDPDF=Y")</f>
        <v>—</v>
      </c>
      <c r="E32" s="13" t="str">
        <f>_xll.BDH("ALNY US Equity","BS_DERIV_HEDGING_ASST_LT","FQ3 2019","FQ3 2019","Currency=USD","Period=FQ","BEST_FPERIOD_OVERRIDE=FQ","FILING_STATUS=MR","SCALING_FORMAT=MLN","Sort=A","Dates=H","DateFormat=P","Fill=—","Direction=H","UseDPDF=Y")</f>
        <v>—</v>
      </c>
      <c r="F32" s="13">
        <f>_xll.BDH("ALNY US Equity","BS_DERIV_HEDGING_ASST_LT","FQ4 2019","FQ4 2019","Currency=USD","Period=FQ","BEST_FPERIOD_OVERRIDE=FQ","FILING_STATUS=MR","SCALING_FORMAT=MLN","Sort=A","Dates=H","DateFormat=P","Fill=—","Direction=H","UseDPDF=Y")</f>
        <v>0</v>
      </c>
      <c r="G32" s="13" t="str">
        <f>_xll.BDH("ALNY US Equity","BS_DERIV_HEDGING_ASST_LT","FQ1 2020","FQ1 2020","Currency=USD","Period=FQ","BEST_FPERIOD_OVERRIDE=FQ","FILING_STATUS=MR","SCALING_FORMAT=MLN","Sort=A","Dates=H","DateFormat=P","Fill=—","Direction=H","UseDPDF=Y")</f>
        <v>—</v>
      </c>
      <c r="H32" s="13" t="str">
        <f>_xll.BDH("ALNY US Equity","BS_DERIV_HEDGING_ASST_LT","FQ2 2020","FQ2 2020","Currency=USD","Period=FQ","BEST_FPERIOD_OVERRIDE=FQ","FILING_STATUS=MR","SCALING_FORMAT=MLN","Sort=A","Dates=H","DateFormat=P","Fill=—","Direction=H","UseDPDF=Y")</f>
        <v>—</v>
      </c>
      <c r="I32" s="13" t="str">
        <f>_xll.BDH("ALNY US Equity","BS_DERIV_HEDGING_ASST_LT","FQ3 2020","FQ3 2020","Currency=USD","Period=FQ","BEST_FPERIOD_OVERRIDE=FQ","FILING_STATUS=MR","SCALING_FORMAT=MLN","Sort=A","Dates=H","DateFormat=P","Fill=—","Direction=H","UseDPDF=Y")</f>
        <v>—</v>
      </c>
      <c r="J32" s="13">
        <f>_xll.BDH("ALNY US Equity","BS_DERIV_HEDGING_ASST_LT","FQ4 2020","FQ4 2020","Currency=USD","Period=FQ","BEST_FPERIOD_OVERRIDE=FQ","FILING_STATUS=MR","SCALING_FORMAT=MLN","Sort=A","Dates=H","DateFormat=P","Fill=—","Direction=H","UseDPDF=Y")</f>
        <v>0</v>
      </c>
      <c r="K32" s="13" t="str">
        <f>_xll.BDH("ALNY US Equity","BS_DERIV_HEDGING_ASST_LT","FQ1 2021","FQ1 2021","Currency=USD","Period=FQ","BEST_FPERIOD_OVERRIDE=FQ","FILING_STATUS=MR","SCALING_FORMAT=MLN","Sort=A","Dates=H","DateFormat=P","Fill=—","Direction=H","UseDPDF=Y")</f>
        <v>—</v>
      </c>
      <c r="L32" s="13" t="str">
        <f>_xll.BDH("ALNY US Equity","BS_DERIV_HEDGING_ASST_LT","FQ2 2021","FQ2 2021","Currency=USD","Period=FQ","BEST_FPERIOD_OVERRIDE=FQ","FILING_STATUS=MR","SCALING_FORMAT=MLN","Sort=A","Dates=H","DateFormat=P","Fill=—","Direction=H","UseDPDF=Y")</f>
        <v>—</v>
      </c>
      <c r="M32" s="13" t="str">
        <f>_xll.BDH("ALNY US Equity","BS_DERIV_HEDGING_ASST_LT","FQ3 2021","FQ3 2021","Currency=USD","Period=FQ","BEST_FPERIOD_OVERRIDE=FQ","FILING_STATUS=MR","SCALING_FORMAT=MLN","Sort=A","Dates=H","DateFormat=P","Fill=—","Direction=H","UseDPDF=Y")</f>
        <v>—</v>
      </c>
      <c r="N32" s="13">
        <f>_xll.BDH("ALNY US Equity","BS_DERIV_HEDGING_ASST_LT","FQ4 2021","FQ4 2021","Currency=USD","Period=FQ","BEST_FPERIOD_OVERRIDE=FQ","FILING_STATUS=MR","SCALING_FORMAT=MLN","Sort=A","Dates=H","DateFormat=P","Fill=—","Direction=H","UseDPDF=Y")</f>
        <v>0</v>
      </c>
      <c r="O32" s="13" t="str">
        <f>_xll.BDH("ALNY US Equity","BS_DERIV_HEDGING_ASST_LT","FQ1 2022","FQ1 2022","Currency=USD","Period=FQ","BEST_FPERIOD_OVERRIDE=FQ","FILING_STATUS=MR","SCALING_FORMAT=MLN","Sort=A","Dates=H","DateFormat=P","Fill=—","Direction=H","UseDPDF=Y")</f>
        <v>—</v>
      </c>
      <c r="P32" s="13" t="str">
        <f>_xll.BDH("ALNY US Equity","BS_DERIV_HEDGING_ASST_LT","FQ2 2022","FQ2 2022","Currency=USD","Period=FQ","BEST_FPERIOD_OVERRIDE=FQ","FILING_STATUS=MR","SCALING_FORMAT=MLN","Sort=A","Dates=H","DateFormat=P","Fill=—","Direction=H","UseDPDF=Y")</f>
        <v>—</v>
      </c>
      <c r="Q32" s="13" t="str">
        <f>_xll.BDH("ALNY US Equity","BS_DERIV_HEDGING_ASST_LT","FQ3 2022","FQ3 2022","Currency=USD","Period=FQ","BEST_FPERIOD_OVERRIDE=FQ","FILING_STATUS=MR","SCALING_FORMAT=MLN","Sort=A","Dates=H","DateFormat=P","Fill=—","Direction=H","UseDPDF=Y")</f>
        <v>—</v>
      </c>
      <c r="R32" s="13">
        <f>_xll.BDH("ALNY US Equity","BS_DERIV_HEDGING_ASST_LT","FQ4 2022","FQ4 2022","Currency=USD","Period=FQ","BEST_FPERIOD_OVERRIDE=FQ","FILING_STATUS=MR","SCALING_FORMAT=MLN","Sort=A","Dates=H","DateFormat=P","Fill=—","Direction=H","UseDPDF=Y")</f>
        <v>0</v>
      </c>
      <c r="S32" s="13" t="str">
        <f>_xll.BDH("ALNY US Equity","BS_DERIV_HEDGING_ASST_LT","FQ1 2023","FQ1 2023","Currency=USD","Period=FQ","BEST_FPERIOD_OVERRIDE=FQ","FILING_STATUS=MR","SCALING_FORMAT=MLN","Sort=A","Dates=H","DateFormat=P","Fill=—","Direction=H","UseDPDF=Y")</f>
        <v>—</v>
      </c>
      <c r="T32" s="13" t="str">
        <f>_xll.BDH("ALNY US Equity","BS_DERIV_HEDGING_ASST_LT","FQ2 2023","FQ2 2023","Currency=USD","Period=FQ","BEST_FPERIOD_OVERRIDE=FQ","FILING_STATUS=MR","SCALING_FORMAT=MLN","Sort=A","Dates=H","DateFormat=P","Fill=—","Direction=H","UseDPDF=Y")</f>
        <v>—</v>
      </c>
      <c r="U32" s="13" t="str">
        <f>_xll.BDH("ALNY US Equity","BS_DERIV_HEDGING_ASST_LT","FQ3 2023","FQ3 2023","Currency=USD","Period=FQ","BEST_FPERIOD_OVERRIDE=FQ","FILING_STATUS=MR","SCALING_FORMAT=MLN","Sort=A","Dates=H","DateFormat=P","Fill=—","Direction=H","UseDPDF=Y")</f>
        <v>—</v>
      </c>
      <c r="V32" s="13">
        <f>_xll.BDH("ALNY US Equity","BS_DERIV_HEDGING_ASST_LT","FQ4 2023","FQ4 2023","Currency=USD","Period=FQ","BEST_FPERIOD_OVERRIDE=FQ","FILING_STATUS=MR","SCALING_FORMAT=MLN","Sort=A","Dates=H","DateFormat=P","Fill=—","Direction=H","UseDPDF=Y")</f>
        <v>0</v>
      </c>
      <c r="W32" s="13" t="str">
        <f>_xll.BDH("ALNY US Equity","BS_DERIV_HEDGING_ASST_LT","FQ1 2024","FQ1 2024","Currency=USD","Period=FQ","BEST_FPERIOD_OVERRIDE=FQ","FILING_STATUS=MR","SCALING_FORMAT=MLN","Sort=A","Dates=H","DateFormat=P","Fill=—","Direction=H","UseDPDF=Y")</f>
        <v>—</v>
      </c>
      <c r="X32" s="13" t="str">
        <f>_xll.BDH("ALNY US Equity","BS_DERIV_HEDGING_ASST_LT","FQ2 2024","FQ2 2024","Currency=USD","Period=FQ","BEST_FPERIOD_OVERRIDE=FQ","FILING_STATUS=MR","SCALING_FORMAT=MLN","Sort=A","Dates=H","DateFormat=P","Fill=—","Direction=H","UseDPDF=Y")</f>
        <v>—</v>
      </c>
      <c r="Y32" s="13" t="str">
        <f>_xll.BDH("ALNY US Equity","BS_DERIV_HEDGING_ASST_LT","FQ3 2024","FQ3 2024","Currency=USD","Period=FQ","BEST_FPERIOD_OVERRIDE=FQ","FILING_STATUS=MR","SCALING_FORMAT=MLN","Sort=A","Dates=H","DateFormat=P","Fill=—","Direction=H","UseDPDF=Y")</f>
        <v>—</v>
      </c>
      <c r="Z32" s="13">
        <f>_xll.BDH("ALNY US Equity","BS_DERIV_HEDGING_ASST_LT","FQ4 2024","FQ4 2024","Currency=USD","Period=FQ","BEST_FPERIOD_OVERRIDE=FQ","FILING_STATUS=MR","SCALING_FORMAT=MLN","Sort=A","Dates=H","DateFormat=P","Fill=—","Direction=H","UseDPDF=Y")</f>
        <v>0</v>
      </c>
    </row>
    <row r="33" spans="1:26" x14ac:dyDescent="0.25">
      <c r="A33" s="10" t="s">
        <v>226</v>
      </c>
      <c r="B33" s="10" t="s">
        <v>227</v>
      </c>
      <c r="C33" s="13">
        <f>_xll.BDH("ALNY US Equity","OTHER_NONCURRENT_ASSETS_DETAILED","FQ1 2019","FQ1 2019","Currency=USD","Period=FQ","BEST_FPERIOD_OVERRIDE=FQ","FILING_STATUS=MR","SCALING_FORMAT=MLN","Sort=A","Dates=H","DateFormat=P","Fill=—","Direction=H","UseDPDF=Y")</f>
        <v>53.862000000000002</v>
      </c>
      <c r="D33" s="13">
        <f>_xll.BDH("ALNY US Equity","OTHER_NONCURRENT_ASSETS_DETAILED","FQ2 2019","FQ2 2019","Currency=USD","Period=FQ","BEST_FPERIOD_OVERRIDE=FQ","FILING_STATUS=MR","SCALING_FORMAT=MLN","Sort=A","Dates=H","DateFormat=P","Fill=—","Direction=H","UseDPDF=Y")</f>
        <v>54.512</v>
      </c>
      <c r="E33" s="13">
        <f>_xll.BDH("ALNY US Equity","OTHER_NONCURRENT_ASSETS_DETAILED","FQ3 2019","FQ3 2019","Currency=USD","Period=FQ","BEST_FPERIOD_OVERRIDE=FQ","FILING_STATUS=MR","SCALING_FORMAT=MLN","Sort=A","Dates=H","DateFormat=P","Fill=—","Direction=H","UseDPDF=Y")</f>
        <v>24.457000000000001</v>
      </c>
      <c r="F33" s="13">
        <f>_xll.BDH("ALNY US Equity","OTHER_NONCURRENT_ASSETS_DETAILED","FQ4 2019","FQ4 2019","Currency=USD","Period=FQ","BEST_FPERIOD_OVERRIDE=FQ","FILING_STATUS=MR","SCALING_FORMAT=MLN","Sort=A","Dates=H","DateFormat=P","Fill=—","Direction=H","UseDPDF=Y")</f>
        <v>32.893999999999998</v>
      </c>
      <c r="G33" s="13">
        <f>_xll.BDH("ALNY US Equity","OTHER_NONCURRENT_ASSETS_DETAILED","FQ1 2020","FQ1 2020","Currency=USD","Period=FQ","BEST_FPERIOD_OVERRIDE=FQ","FILING_STATUS=MR","SCALING_FORMAT=MLN","Sort=A","Dates=H","DateFormat=P","Fill=—","Direction=H","UseDPDF=Y")</f>
        <v>43.756999999999998</v>
      </c>
      <c r="H33" s="13">
        <f>_xll.BDH("ALNY US Equity","OTHER_NONCURRENT_ASSETS_DETAILED","FQ2 2020","FQ2 2020","Currency=USD","Period=FQ","BEST_FPERIOD_OVERRIDE=FQ","FILING_STATUS=MR","SCALING_FORMAT=MLN","Sort=A","Dates=H","DateFormat=P","Fill=—","Direction=H","UseDPDF=Y")</f>
        <v>545.12099999999998</v>
      </c>
      <c r="I33" s="13">
        <f>_xll.BDH("ALNY US Equity","OTHER_NONCURRENT_ASSETS_DETAILED","FQ3 2020","FQ3 2020","Currency=USD","Period=FQ","BEST_FPERIOD_OVERRIDE=FQ","FILING_STATUS=MR","SCALING_FORMAT=MLN","Sort=A","Dates=H","DateFormat=P","Fill=—","Direction=H","UseDPDF=Y")</f>
        <v>62.656999999999996</v>
      </c>
      <c r="J33" s="13">
        <f>_xll.BDH("ALNY US Equity","OTHER_NONCURRENT_ASSETS_DETAILED","FQ4 2020","FQ4 2020","Currency=USD","Period=FQ","BEST_FPERIOD_OVERRIDE=FQ","FILING_STATUS=MR","SCALING_FORMAT=MLN","Sort=A","Dates=H","DateFormat=P","Fill=—","Direction=H","UseDPDF=Y")</f>
        <v>85.77</v>
      </c>
      <c r="K33" s="13">
        <f>_xll.BDH("ALNY US Equity","OTHER_NONCURRENT_ASSETS_DETAILED","FQ1 2021","FQ1 2021","Currency=USD","Period=FQ","BEST_FPERIOD_OVERRIDE=FQ","FILING_STATUS=MR","SCALING_FORMAT=MLN","Sort=A","Dates=H","DateFormat=P","Fill=—","Direction=H","UseDPDF=Y")</f>
        <v>83.400999999999996</v>
      </c>
      <c r="L33" s="13">
        <f>_xll.BDH("ALNY US Equity","OTHER_NONCURRENT_ASSETS_DETAILED","FQ2 2021","FQ2 2021","Currency=USD","Period=FQ","BEST_FPERIOD_OVERRIDE=FQ","FILING_STATUS=MR","SCALING_FORMAT=MLN","Sort=A","Dates=H","DateFormat=P","Fill=—","Direction=H","UseDPDF=Y")</f>
        <v>75.477000000000004</v>
      </c>
      <c r="M33" s="13">
        <f>_xll.BDH("ALNY US Equity","OTHER_NONCURRENT_ASSETS_DETAILED","FQ3 2021","FQ3 2021","Currency=USD","Period=FQ","BEST_FPERIOD_OVERRIDE=FQ","FILING_STATUS=MR","SCALING_FORMAT=MLN","Sort=A","Dates=H","DateFormat=P","Fill=—","Direction=H","UseDPDF=Y")</f>
        <v>76.156999999999996</v>
      </c>
      <c r="N33" s="13">
        <f>_xll.BDH("ALNY US Equity","OTHER_NONCURRENT_ASSETS_DETAILED","FQ4 2021","FQ4 2021","Currency=USD","Period=FQ","BEST_FPERIOD_OVERRIDE=FQ","FILING_STATUS=MR","SCALING_FORMAT=MLN","Sort=A","Dates=H","DateFormat=P","Fill=—","Direction=H","UseDPDF=Y")</f>
        <v>101.095</v>
      </c>
      <c r="O33" s="13">
        <f>_xll.BDH("ALNY US Equity","OTHER_NONCURRENT_ASSETS_DETAILED","FQ1 2022","FQ1 2022","Currency=USD","Period=FQ","BEST_FPERIOD_OVERRIDE=FQ","FILING_STATUS=MR","SCALING_FORMAT=MLN","Sort=A","Dates=H","DateFormat=P","Fill=—","Direction=H","UseDPDF=Y")</f>
        <v>110.71</v>
      </c>
      <c r="P33" s="13">
        <f>_xll.BDH("ALNY US Equity","OTHER_NONCURRENT_ASSETS_DETAILED","FQ2 2022","FQ2 2022","Currency=USD","Period=FQ","BEST_FPERIOD_OVERRIDE=FQ","FILING_STATUS=MR","SCALING_FORMAT=MLN","Sort=A","Dates=H","DateFormat=P","Fill=—","Direction=H","UseDPDF=Y")</f>
        <v>126.657</v>
      </c>
      <c r="Q33" s="13">
        <f>_xll.BDH("ALNY US Equity","OTHER_NONCURRENT_ASSETS_DETAILED","FQ3 2022","FQ3 2022","Currency=USD","Period=FQ","BEST_FPERIOD_OVERRIDE=FQ","FILING_STATUS=MR","SCALING_FORMAT=MLN","Sort=A","Dates=H","DateFormat=P","Fill=—","Direction=H","UseDPDF=Y")</f>
        <v>110.785</v>
      </c>
      <c r="R33" s="13">
        <f>_xll.BDH("ALNY US Equity","OTHER_NONCURRENT_ASSETS_DETAILED","FQ4 2022","FQ4 2022","Currency=USD","Period=FQ","BEST_FPERIOD_OVERRIDE=FQ","FILING_STATUS=MR","SCALING_FORMAT=MLN","Sort=A","Dates=H","DateFormat=P","Fill=—","Direction=H","UseDPDF=Y")</f>
        <v>115.482</v>
      </c>
      <c r="S33" s="13">
        <f>_xll.BDH("ALNY US Equity","OTHER_NONCURRENT_ASSETS_DETAILED","FQ1 2023","FQ1 2023","Currency=USD","Period=FQ","BEST_FPERIOD_OVERRIDE=FQ","FILING_STATUS=MR","SCALING_FORMAT=MLN","Sort=A","Dates=H","DateFormat=P","Fill=—","Direction=H","UseDPDF=Y")</f>
        <v>112.84099999999999</v>
      </c>
      <c r="T33" s="13">
        <f>_xll.BDH("ALNY US Equity","OTHER_NONCURRENT_ASSETS_DETAILED","FQ2 2023","FQ2 2023","Currency=USD","Period=FQ","BEST_FPERIOD_OVERRIDE=FQ","FILING_STATUS=MR","SCALING_FORMAT=MLN","Sort=A","Dates=H","DateFormat=P","Fill=—","Direction=H","UseDPDF=Y")</f>
        <v>142.07400000000001</v>
      </c>
      <c r="U33" s="13">
        <f>_xll.BDH("ALNY US Equity","OTHER_NONCURRENT_ASSETS_DETAILED","FQ3 2023","FQ3 2023","Currency=USD","Period=FQ","BEST_FPERIOD_OVERRIDE=FQ","FILING_STATUS=MR","SCALING_FORMAT=MLN","Sort=A","Dates=H","DateFormat=P","Fill=—","Direction=H","UseDPDF=Y")</f>
        <v>124.545</v>
      </c>
      <c r="V33" s="13">
        <f>_xll.BDH("ALNY US Equity","OTHER_NONCURRENT_ASSETS_DETAILED","FQ4 2023","FQ4 2023","Currency=USD","Period=FQ","BEST_FPERIOD_OVERRIDE=FQ","FILING_STATUS=MR","SCALING_FORMAT=MLN","Sort=A","Dates=H","DateFormat=P","Fill=—","Direction=H","UseDPDF=Y")</f>
        <v>121.39400000000001</v>
      </c>
      <c r="W33" s="13">
        <f>_xll.BDH("ALNY US Equity","OTHER_NONCURRENT_ASSETS_DETAILED","FQ1 2024","FQ1 2024","Currency=USD","Period=FQ","BEST_FPERIOD_OVERRIDE=FQ","FILING_STATUS=MR","SCALING_FORMAT=MLN","Sort=A","Dates=H","DateFormat=P","Fill=—","Direction=H","UseDPDF=Y")</f>
        <v>116.851</v>
      </c>
      <c r="X33" s="13">
        <f>_xll.BDH("ALNY US Equity","OTHER_NONCURRENT_ASSETS_DETAILED","FQ2 2024","FQ2 2024","Currency=USD","Period=FQ","BEST_FPERIOD_OVERRIDE=FQ","FILING_STATUS=MR","SCALING_FORMAT=MLN","Sort=A","Dates=H","DateFormat=P","Fill=—","Direction=H","UseDPDF=Y")</f>
        <v>121.316</v>
      </c>
      <c r="Y33" s="13">
        <f>_xll.BDH("ALNY US Equity","OTHER_NONCURRENT_ASSETS_DETAILED","FQ3 2024","FQ3 2024","Currency=USD","Period=FQ","BEST_FPERIOD_OVERRIDE=FQ","FILING_STATUS=MR","SCALING_FORMAT=MLN","Sort=A","Dates=H","DateFormat=P","Fill=—","Direction=H","UseDPDF=Y")</f>
        <v>146.21</v>
      </c>
      <c r="Z33" s="13">
        <f>_xll.BDH("ALNY US Equity","OTHER_NONCURRENT_ASSETS_DETAILED","FQ4 2024","FQ4 2024","Currency=USD","Period=FQ","BEST_FPERIOD_OVERRIDE=FQ","FILING_STATUS=MR","SCALING_FORMAT=MLN","Sort=A","Dates=H","DateFormat=P","Fill=—","Direction=H","UseDPDF=Y")</f>
        <v>133.90299999999999</v>
      </c>
    </row>
    <row r="34" spans="1:26" x14ac:dyDescent="0.25">
      <c r="A34" s="6" t="s">
        <v>228</v>
      </c>
      <c r="B34" s="6" t="s">
        <v>229</v>
      </c>
      <c r="C34" s="16">
        <f>_xll.BDH("ALNY US Equity","BS_TOT_NON_CUR_ASSET","FQ1 2019","FQ1 2019","Currency=USD","Period=FQ","BEST_FPERIOD_OVERRIDE=FQ","FILING_STATUS=MR","SCALING_FORMAT=MLN","Sort=A","Dates=H","DateFormat=P","Fill=—","Direction=H","UseDPDF=Y")</f>
        <v>621.98599999999999</v>
      </c>
      <c r="D34" s="16">
        <f>_xll.BDH("ALNY US Equity","BS_TOT_NON_CUR_ASSET","FQ2 2019","FQ2 2019","Currency=USD","Period=FQ","BEST_FPERIOD_OVERRIDE=FQ","FILING_STATUS=MR","SCALING_FORMAT=MLN","Sort=A","Dates=H","DateFormat=P","Fill=—","Direction=H","UseDPDF=Y")</f>
        <v>652.63800000000003</v>
      </c>
      <c r="E34" s="16">
        <f>_xll.BDH("ALNY US Equity","BS_TOT_NON_CUR_ASSET","FQ3 2019","FQ3 2019","Currency=USD","Period=FQ","BEST_FPERIOD_OVERRIDE=FQ","FILING_STATUS=MR","SCALING_FORMAT=MLN","Sort=A","Dates=H","DateFormat=P","Fill=—","Direction=H","UseDPDF=Y")</f>
        <v>644.35699999999997</v>
      </c>
      <c r="F34" s="16">
        <f>_xll.BDH("ALNY US Equity","BS_TOT_NON_CUR_ASSET","FQ4 2019","FQ4 2019","Currency=USD","Period=FQ","BEST_FPERIOD_OVERRIDE=FQ","FILING_STATUS=MR","SCALING_FORMAT=MLN","Sort=A","Dates=H","DateFormat=P","Fill=—","Direction=H","UseDPDF=Y")</f>
        <v>679.27</v>
      </c>
      <c r="G34" s="16">
        <f>_xll.BDH("ALNY US Equity","BS_TOT_NON_CUR_ASSET","FQ1 2020","FQ1 2020","Currency=USD","Period=FQ","BEST_FPERIOD_OVERRIDE=FQ","FILING_STATUS=MR","SCALING_FORMAT=MLN","Sort=A","Dates=H","DateFormat=P","Fill=—","Direction=H","UseDPDF=Y")</f>
        <v>694.851</v>
      </c>
      <c r="H34" s="16">
        <f>_xll.BDH("ALNY US Equity","BS_TOT_NON_CUR_ASSET","FQ2 2020","FQ2 2020","Currency=USD","Period=FQ","BEST_FPERIOD_OVERRIDE=FQ","FILING_STATUS=MR","SCALING_FORMAT=MLN","Sort=A","Dates=H","DateFormat=P","Fill=—","Direction=H","UseDPDF=Y")</f>
        <v>1213.921</v>
      </c>
      <c r="I34" s="16">
        <f>_xll.BDH("ALNY US Equity","BS_TOT_NON_CUR_ASSET","FQ3 2020","FQ3 2020","Currency=USD","Period=FQ","BEST_FPERIOD_OVERRIDE=FQ","FILING_STATUS=MR","SCALING_FORMAT=MLN","Sort=A","Dates=H","DateFormat=P","Fill=—","Direction=H","UseDPDF=Y")</f>
        <v>752.58100000000002</v>
      </c>
      <c r="J34" s="16">
        <f>_xll.BDH("ALNY US Equity","BS_TOT_NON_CUR_ASSET","FQ4 2020","FQ4 2020","Currency=USD","Period=FQ","BEST_FPERIOD_OVERRIDE=FQ","FILING_STATUS=MR","SCALING_FORMAT=MLN","Sort=A","Dates=H","DateFormat=P","Fill=—","Direction=H","UseDPDF=Y")</f>
        <v>792.28399999999999</v>
      </c>
      <c r="K34" s="16">
        <f>_xll.BDH("ALNY US Equity","BS_TOT_NON_CUR_ASSET","FQ1 2021","FQ1 2021","Currency=USD","Period=FQ","BEST_FPERIOD_OVERRIDE=FQ","FILING_STATUS=MR","SCALING_FORMAT=MLN","Sort=A","Dates=H","DateFormat=P","Fill=—","Direction=H","UseDPDF=Y")</f>
        <v>785.18600000000004</v>
      </c>
      <c r="L34" s="16">
        <f>_xll.BDH("ALNY US Equity","BS_TOT_NON_CUR_ASSET","FQ2 2021","FQ2 2021","Currency=USD","Period=FQ","BEST_FPERIOD_OVERRIDE=FQ","FILING_STATUS=MR","SCALING_FORMAT=MLN","Sort=A","Dates=H","DateFormat=P","Fill=—","Direction=H","UseDPDF=Y")</f>
        <v>784.26599999999996</v>
      </c>
      <c r="M34" s="16">
        <f>_xll.BDH("ALNY US Equity","BS_TOT_NON_CUR_ASSET","FQ3 2021","FQ3 2021","Currency=USD","Period=FQ","BEST_FPERIOD_OVERRIDE=FQ","FILING_STATUS=MR","SCALING_FORMAT=MLN","Sort=A","Dates=H","DateFormat=P","Fill=—","Direction=H","UseDPDF=Y")</f>
        <v>796.95100000000002</v>
      </c>
      <c r="N34" s="16">
        <f>_xll.BDH("ALNY US Equity","BS_TOT_NON_CUR_ASSET","FQ4 2021","FQ4 2021","Currency=USD","Period=FQ","BEST_FPERIOD_OVERRIDE=FQ","FILING_STATUS=MR","SCALING_FORMAT=MLN","Sort=A","Dates=H","DateFormat=P","Fill=—","Direction=H","UseDPDF=Y")</f>
        <v>834.72799999999995</v>
      </c>
      <c r="O34" s="16">
        <f>_xll.BDH("ALNY US Equity","BS_TOT_NON_CUR_ASSET","FQ1 2022","FQ1 2022","Currency=USD","Period=FQ","BEST_FPERIOD_OVERRIDE=FQ","FILING_STATUS=MR","SCALING_FORMAT=MLN","Sort=A","Dates=H","DateFormat=P","Fill=—","Direction=H","UseDPDF=Y")</f>
        <v>843.86800000000005</v>
      </c>
      <c r="P34" s="16">
        <f>_xll.BDH("ALNY US Equity","BS_TOT_NON_CUR_ASSET","FQ2 2022","FQ2 2022","Currency=USD","Period=FQ","BEST_FPERIOD_OVERRIDE=FQ","FILING_STATUS=MR","SCALING_FORMAT=MLN","Sort=A","Dates=H","DateFormat=P","Fill=—","Direction=H","UseDPDF=Y")</f>
        <v>858.779</v>
      </c>
      <c r="Q34" s="16">
        <f>_xll.BDH("ALNY US Equity","BS_TOT_NON_CUR_ASSET","FQ3 2022","FQ3 2022","Currency=USD","Period=FQ","BEST_FPERIOD_OVERRIDE=FQ","FILING_STATUS=MR","SCALING_FORMAT=MLN","Sort=A","Dates=H","DateFormat=P","Fill=—","Direction=H","UseDPDF=Y")</f>
        <v>844.40800000000002</v>
      </c>
      <c r="R34" s="16">
        <f>_xll.BDH("ALNY US Equity","BS_TOT_NON_CUR_ASSET","FQ4 2022","FQ4 2022","Currency=USD","Period=FQ","BEST_FPERIOD_OVERRIDE=FQ","FILING_STATUS=MR","SCALING_FORMAT=MLN","Sort=A","Dates=H","DateFormat=P","Fill=—","Direction=H","UseDPDF=Y")</f>
        <v>854.11199999999997</v>
      </c>
      <c r="S34" s="16">
        <f>_xll.BDH("ALNY US Equity","BS_TOT_NON_CUR_ASSET","FQ1 2023","FQ1 2023","Currency=USD","Period=FQ","BEST_FPERIOD_OVERRIDE=FQ","FILING_STATUS=MR","SCALING_FORMAT=MLN","Sort=A","Dates=H","DateFormat=P","Fill=—","Direction=H","UseDPDF=Y")</f>
        <v>850.92200000000003</v>
      </c>
      <c r="T34" s="16">
        <f>_xll.BDH("ALNY US Equity","BS_TOT_NON_CUR_ASSET","FQ2 2023","FQ2 2023","Currency=USD","Period=FQ","BEST_FPERIOD_OVERRIDE=FQ","FILING_STATUS=MR","SCALING_FORMAT=MLN","Sort=A","Dates=H","DateFormat=P","Fill=—","Direction=H","UseDPDF=Y")</f>
        <v>878.34900000000005</v>
      </c>
      <c r="U34" s="16">
        <f>_xll.BDH("ALNY US Equity","BS_TOT_NON_CUR_ASSET","FQ3 2023","FQ3 2023","Currency=USD","Period=FQ","BEST_FPERIOD_OVERRIDE=FQ","FILING_STATUS=MR","SCALING_FORMAT=MLN","Sort=A","Dates=H","DateFormat=P","Fill=—","Direction=H","UseDPDF=Y")</f>
        <v>853.62099999999998</v>
      </c>
      <c r="V34" s="16">
        <f>_xll.BDH("ALNY US Equity","BS_TOT_NON_CUR_ASSET","FQ4 2023","FQ4 2023","Currency=USD","Period=FQ","BEST_FPERIOD_OVERRIDE=FQ","FILING_STATUS=MR","SCALING_FORMAT=MLN","Sort=A","Dates=H","DateFormat=P","Fill=—","Direction=H","UseDPDF=Y")</f>
        <v>847.18299999999999</v>
      </c>
      <c r="W34" s="16">
        <f>_xll.BDH("ALNY US Equity","BS_TOT_NON_CUR_ASSET","FQ1 2024","FQ1 2024","Currency=USD","Period=FQ","BEST_FPERIOD_OVERRIDE=FQ","FILING_STATUS=MR","SCALING_FORMAT=MLN","Sort=A","Dates=H","DateFormat=P","Fill=—","Direction=H","UseDPDF=Y")</f>
        <v>835.779</v>
      </c>
      <c r="X34" s="16">
        <f>_xll.BDH("ALNY US Equity","BS_TOT_NON_CUR_ASSET","FQ2 2024","FQ2 2024","Currency=USD","Period=FQ","BEST_FPERIOD_OVERRIDE=FQ","FILING_STATUS=MR","SCALING_FORMAT=MLN","Sort=A","Dates=H","DateFormat=P","Fill=—","Direction=H","UseDPDF=Y")</f>
        <v>836.77800000000002</v>
      </c>
      <c r="Y34" s="16">
        <f>_xll.BDH("ALNY US Equity","BS_TOT_NON_CUR_ASSET","FQ3 2024","FQ3 2024","Currency=USD","Period=FQ","BEST_FPERIOD_OVERRIDE=FQ","FILING_STATUS=MR","SCALING_FORMAT=MLN","Sort=A","Dates=H","DateFormat=P","Fill=—","Direction=H","UseDPDF=Y")</f>
        <v>849.61500000000001</v>
      </c>
      <c r="Z34" s="16">
        <f>_xll.BDH("ALNY US Equity","BS_TOT_NON_CUR_ASSET","FQ4 2024","FQ4 2024","Currency=USD","Period=FQ","BEST_FPERIOD_OVERRIDE=FQ","FILING_STATUS=MR","SCALING_FORMAT=MLN","Sort=A","Dates=H","DateFormat=P","Fill=—","Direction=H","UseDPDF=Y")</f>
        <v>944.69799999999998</v>
      </c>
    </row>
    <row r="35" spans="1:26" x14ac:dyDescent="0.25">
      <c r="A35" s="6" t="s">
        <v>174</v>
      </c>
      <c r="B35" s="6" t="s">
        <v>230</v>
      </c>
      <c r="C35" s="16">
        <f>_xll.BDH("ALNY US Equity","BS_TOT_ASSET","FQ1 2019","FQ1 2019","Currency=USD","Period=FQ","BEST_FPERIOD_OVERRIDE=FQ","FILING_STATUS=MR","SCALING_FORMAT=MLN","Sort=A","Dates=H","DateFormat=P","Fill=—","Direction=H","UseDPDF=Y")</f>
        <v>2013.999</v>
      </c>
      <c r="D35" s="16">
        <f>_xll.BDH("ALNY US Equity","BS_TOT_ASSET","FQ2 2019","FQ2 2019","Currency=USD","Period=FQ","BEST_FPERIOD_OVERRIDE=FQ","FILING_STATUS=MR","SCALING_FORMAT=MLN","Sort=A","Dates=H","DateFormat=P","Fill=—","Direction=H","UseDPDF=Y")</f>
        <v>2716.4110000000001</v>
      </c>
      <c r="E35" s="16">
        <f>_xll.BDH("ALNY US Equity","BS_TOT_ASSET","FQ3 2019","FQ3 2019","Currency=USD","Period=FQ","BEST_FPERIOD_OVERRIDE=FQ","FILING_STATUS=MR","SCALING_FORMAT=MLN","Sort=A","Dates=H","DateFormat=P","Fill=—","Direction=H","UseDPDF=Y")</f>
        <v>2541.6219999999998</v>
      </c>
      <c r="F35" s="16">
        <f>_xll.BDH("ALNY US Equity","BS_TOT_ASSET","FQ4 2019","FQ4 2019","Currency=USD","Period=FQ","BEST_FPERIOD_OVERRIDE=FQ","FILING_STATUS=MR","SCALING_FORMAT=MLN","Sort=A","Dates=H","DateFormat=P","Fill=—","Direction=H","UseDPDF=Y")</f>
        <v>2395.134</v>
      </c>
      <c r="G35" s="16">
        <f>_xll.BDH("ALNY US Equity","BS_TOT_ASSET","FQ1 2020","FQ1 2020","Currency=USD","Period=FQ","BEST_FPERIOD_OVERRIDE=FQ","FILING_STATUS=MR","SCALING_FORMAT=MLN","Sort=A","Dates=H","DateFormat=P","Fill=—","Direction=H","UseDPDF=Y")</f>
        <v>2279.6239999999998</v>
      </c>
      <c r="H35" s="16">
        <f>_xll.BDH("ALNY US Equity","BS_TOT_ASSET","FQ2 2020","FQ2 2020","Currency=USD","Period=FQ","BEST_FPERIOD_OVERRIDE=FQ","FILING_STATUS=MR","SCALING_FORMAT=MLN","Sort=A","Dates=H","DateFormat=P","Fill=—","Direction=H","UseDPDF=Y")</f>
        <v>3374.3670000000002</v>
      </c>
      <c r="I35" s="16">
        <f>_xll.BDH("ALNY US Equity","BS_TOT_ASSET","FQ3 2020","FQ3 2020","Currency=USD","Period=FQ","BEST_FPERIOD_OVERRIDE=FQ","FILING_STATUS=MR","SCALING_FORMAT=MLN","Sort=A","Dates=H","DateFormat=P","Fill=—","Direction=H","UseDPDF=Y")</f>
        <v>3307.2829999999999</v>
      </c>
      <c r="J35" s="16">
        <f>_xll.BDH("ALNY US Equity","BS_TOT_ASSET","FQ4 2020","FQ4 2020","Currency=USD","Period=FQ","BEST_FPERIOD_OVERRIDE=FQ","FILING_STATUS=MR","SCALING_FORMAT=MLN","Sort=A","Dates=H","DateFormat=P","Fill=—","Direction=H","UseDPDF=Y")</f>
        <v>3407.0610000000001</v>
      </c>
      <c r="K35" s="16">
        <f>_xll.BDH("ALNY US Equity","BS_TOT_ASSET","FQ1 2021","FQ1 2021","Currency=USD","Period=FQ","BEST_FPERIOD_OVERRIDE=FQ","FILING_STATUS=MR","SCALING_FORMAT=MLN","Sort=A","Dates=H","DateFormat=P","Fill=—","Direction=H","UseDPDF=Y")</f>
        <v>3255.2689999999998</v>
      </c>
      <c r="L35" s="16">
        <f>_xll.BDH("ALNY US Equity","BS_TOT_ASSET","FQ2 2021","FQ2 2021","Currency=USD","Period=FQ","BEST_FPERIOD_OVERRIDE=FQ","FILING_STATUS=MR","SCALING_FORMAT=MLN","Sort=A","Dates=H","DateFormat=P","Fill=—","Direction=H","UseDPDF=Y")</f>
        <v>3509.4290000000001</v>
      </c>
      <c r="M35" s="16">
        <f>_xll.BDH("ALNY US Equity","BS_TOT_ASSET","FQ3 2021","FQ3 2021","Currency=USD","Period=FQ","BEST_FPERIOD_OVERRIDE=FQ","FILING_STATUS=MR","SCALING_FORMAT=MLN","Sort=A","Dates=H","DateFormat=P","Fill=—","Direction=H","UseDPDF=Y")</f>
        <v>3472.3130000000001</v>
      </c>
      <c r="N35" s="16">
        <f>_xll.BDH("ALNY US Equity","BS_TOT_ASSET","FQ4 2021","FQ4 2021","Currency=USD","Period=FQ","BEST_FPERIOD_OVERRIDE=FQ","FILING_STATUS=MR","SCALING_FORMAT=MLN","Sort=A","Dates=H","DateFormat=P","Fill=—","Direction=H","UseDPDF=Y")</f>
        <v>3643.3040000000001</v>
      </c>
      <c r="O35" s="16">
        <f>_xll.BDH("ALNY US Equity","BS_TOT_ASSET","FQ1 2022","FQ1 2022","Currency=USD","Period=FQ","BEST_FPERIOD_OVERRIDE=FQ","FILING_STATUS=MR","SCALING_FORMAT=MLN","Sort=A","Dates=H","DateFormat=P","Fill=—","Direction=H","UseDPDF=Y")</f>
        <v>3433.5450000000001</v>
      </c>
      <c r="P35" s="16">
        <f>_xll.BDH("ALNY US Equity","BS_TOT_ASSET","FQ2 2022","FQ2 2022","Currency=USD","Period=FQ","BEST_FPERIOD_OVERRIDE=FQ","FILING_STATUS=MR","SCALING_FORMAT=MLN","Sort=A","Dates=H","DateFormat=P","Fill=—","Direction=H","UseDPDF=Y")</f>
        <v>3330.4169999999999</v>
      </c>
      <c r="Q35" s="16">
        <f>_xll.BDH("ALNY US Equity","BS_TOT_ASSET","FQ3 2022","FQ3 2022","Currency=USD","Period=FQ","BEST_FPERIOD_OVERRIDE=FQ","FILING_STATUS=MR","SCALING_FORMAT=MLN","Sort=A","Dates=H","DateFormat=P","Fill=—","Direction=H","UseDPDF=Y")</f>
        <v>3535.2550000000001</v>
      </c>
      <c r="R35" s="16">
        <f>_xll.BDH("ALNY US Equity","BS_TOT_ASSET","FQ4 2022","FQ4 2022","Currency=USD","Period=FQ","BEST_FPERIOD_OVERRIDE=FQ","FILING_STATUS=MR","SCALING_FORMAT=MLN","Sort=A","Dates=H","DateFormat=P","Fill=—","Direction=H","UseDPDF=Y")</f>
        <v>3546.3589999999999</v>
      </c>
      <c r="S35" s="16">
        <f>_xll.BDH("ALNY US Equity","BS_TOT_ASSET","FQ1 2023","FQ1 2023","Currency=USD","Period=FQ","BEST_FPERIOD_OVERRIDE=FQ","FILING_STATUS=MR","SCALING_FORMAT=MLN","Sort=A","Dates=H","DateFormat=P","Fill=—","Direction=H","UseDPDF=Y")</f>
        <v>3391.94</v>
      </c>
      <c r="T35" s="16">
        <f>_xll.BDH("ALNY US Equity","BS_TOT_ASSET","FQ2 2023","FQ2 2023","Currency=USD","Period=FQ","BEST_FPERIOD_OVERRIDE=FQ","FILING_STATUS=MR","SCALING_FORMAT=MLN","Sort=A","Dates=H","DateFormat=P","Fill=—","Direction=H","UseDPDF=Y")</f>
        <v>3402.3960000000002</v>
      </c>
      <c r="U35" s="16">
        <f>_xll.BDH("ALNY US Equity","BS_TOT_ASSET","FQ3 2023","FQ3 2023","Currency=USD","Period=FQ","BEST_FPERIOD_OVERRIDE=FQ","FILING_STATUS=MR","SCALING_FORMAT=MLN","Sort=A","Dates=H","DateFormat=P","Fill=—","Direction=H","UseDPDF=Y")</f>
        <v>3839.0729999999999</v>
      </c>
      <c r="V35" s="16">
        <f>_xll.BDH("ALNY US Equity","BS_TOT_ASSET","FQ4 2023","FQ4 2023","Currency=USD","Period=FQ","BEST_FPERIOD_OVERRIDE=FQ","FILING_STATUS=MR","SCALING_FORMAT=MLN","Sort=A","Dates=H","DateFormat=P","Fill=—","Direction=H","UseDPDF=Y")</f>
        <v>3829.88</v>
      </c>
      <c r="W35" s="16">
        <f>_xll.BDH("ALNY US Equity","BS_TOT_ASSET","FQ1 2024","FQ1 2024","Currency=USD","Period=FQ","BEST_FPERIOD_OVERRIDE=FQ","FILING_STATUS=MR","SCALING_FORMAT=MLN","Sort=A","Dates=H","DateFormat=P","Fill=—","Direction=H","UseDPDF=Y")</f>
        <v>3824.386</v>
      </c>
      <c r="X35" s="16">
        <f>_xll.BDH("ALNY US Equity","BS_TOT_ASSET","FQ2 2024","FQ2 2024","Currency=USD","Period=FQ","BEST_FPERIOD_OVERRIDE=FQ","FILING_STATUS=MR","SCALING_FORMAT=MLN","Sort=A","Dates=H","DateFormat=P","Fill=—","Direction=H","UseDPDF=Y")</f>
        <v>4009.634</v>
      </c>
      <c r="Y35" s="16">
        <f>_xll.BDH("ALNY US Equity","BS_TOT_ASSET","FQ3 2024","FQ3 2024","Currency=USD","Period=FQ","BEST_FPERIOD_OVERRIDE=FQ","FILING_STATUS=MR","SCALING_FORMAT=MLN","Sort=A","Dates=H","DateFormat=P","Fill=—","Direction=H","UseDPDF=Y")</f>
        <v>4205.0389999999998</v>
      </c>
      <c r="Z35" s="16">
        <f>_xll.BDH("ALNY US Equity","BS_TOT_ASSET","FQ4 2024","FQ4 2024","Currency=USD","Period=FQ","BEST_FPERIOD_OVERRIDE=FQ","FILING_STATUS=MR","SCALING_FORMAT=MLN","Sort=A","Dates=H","DateFormat=P","Fill=—","Direction=H","UseDPDF=Y")</f>
        <v>4239.9830000000002</v>
      </c>
    </row>
    <row r="36" spans="1:26" x14ac:dyDescent="0.25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6" t="s">
        <v>231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0" t="s">
        <v>232</v>
      </c>
      <c r="B38" s="10" t="s">
        <v>233</v>
      </c>
      <c r="C38" s="13">
        <f>_xll.BDH("ALNY US Equity","ACCT_PAYABLE_ACCRUALS_DETAILED","FQ1 2019","FQ1 2019","Currency=USD","Period=FQ","BEST_FPERIOD_OVERRIDE=FQ","FILING_STATUS=MR","SCALING_FORMAT=MLN","Sort=A","Dates=H","DateFormat=P","Fill=—","Direction=H","UseDPDF=Y")</f>
        <v>129.54400000000001</v>
      </c>
      <c r="D38" s="13">
        <f>_xll.BDH("ALNY US Equity","ACCT_PAYABLE_ACCRUALS_DETAILED","FQ2 2019","FQ2 2019","Currency=USD","Period=FQ","BEST_FPERIOD_OVERRIDE=FQ","FILING_STATUS=MR","SCALING_FORMAT=MLN","Sort=A","Dates=H","DateFormat=P","Fill=—","Direction=H","UseDPDF=Y")</f>
        <v>210.01499999999999</v>
      </c>
      <c r="E38" s="13">
        <f>_xll.BDH("ALNY US Equity","ACCT_PAYABLE_ACCRUALS_DETAILED","FQ3 2019","FQ3 2019","Currency=USD","Period=FQ","BEST_FPERIOD_OVERRIDE=FQ","FILING_STATUS=MR","SCALING_FORMAT=MLN","Sort=A","Dates=H","DateFormat=P","Fill=—","Direction=H","UseDPDF=Y")</f>
        <v>217.34</v>
      </c>
      <c r="F38" s="13">
        <f>_xll.BDH("ALNY US Equity","ACCT_PAYABLE_ACCRUALS_DETAILED","FQ4 2019","FQ4 2019","Currency=USD","Period=FQ","BEST_FPERIOD_OVERRIDE=FQ","FILING_STATUS=MR","SCALING_FORMAT=MLN","Sort=A","Dates=H","DateFormat=P","Fill=—","Direction=H","UseDPDF=Y")</f>
        <v>247.08500000000001</v>
      </c>
      <c r="G38" s="13">
        <f>_xll.BDH("ALNY US Equity","ACCT_PAYABLE_ACCRUALS_DETAILED","FQ1 2020","FQ1 2020","Currency=USD","Period=FQ","BEST_FPERIOD_OVERRIDE=FQ","FILING_STATUS=MR","SCALING_FORMAT=MLN","Sort=A","Dates=H","DateFormat=P","Fill=—","Direction=H","UseDPDF=Y")</f>
        <v>223.70500000000001</v>
      </c>
      <c r="H38" s="13">
        <f>_xll.BDH("ALNY US Equity","ACCT_PAYABLE_ACCRUALS_DETAILED","FQ2 2020","FQ2 2020","Currency=USD","Period=FQ","BEST_FPERIOD_OVERRIDE=FQ","FILING_STATUS=MR","SCALING_FORMAT=MLN","Sort=A","Dates=H","DateFormat=P","Fill=—","Direction=H","UseDPDF=Y")</f>
        <v>237.31100000000001</v>
      </c>
      <c r="I38" s="13">
        <f>_xll.BDH("ALNY US Equity","ACCT_PAYABLE_ACCRUALS_DETAILED","FQ3 2020","FQ3 2020","Currency=USD","Period=FQ","BEST_FPERIOD_OVERRIDE=FQ","FILING_STATUS=MR","SCALING_FORMAT=MLN","Sort=A","Dates=H","DateFormat=P","Fill=—","Direction=H","UseDPDF=Y")</f>
        <v>323.13200000000001</v>
      </c>
      <c r="J38" s="13">
        <f>_xll.BDH("ALNY US Equity","ACCT_PAYABLE_ACCRUALS_DETAILED","FQ4 2020","FQ4 2020","Currency=USD","Period=FQ","BEST_FPERIOD_OVERRIDE=FQ","FILING_STATUS=MR","SCALING_FORMAT=MLN","Sort=A","Dates=H","DateFormat=P","Fill=—","Direction=H","UseDPDF=Y")</f>
        <v>407.875</v>
      </c>
      <c r="K38" s="13">
        <f>_xll.BDH("ALNY US Equity","ACCT_PAYABLE_ACCRUALS_DETAILED","FQ1 2021","FQ1 2021","Currency=USD","Period=FQ","BEST_FPERIOD_OVERRIDE=FQ","FILING_STATUS=MR","SCALING_FORMAT=MLN","Sort=A","Dates=H","DateFormat=P","Fill=—","Direction=H","UseDPDF=Y")</f>
        <v>325.90800000000002</v>
      </c>
      <c r="L38" s="13">
        <f>_xll.BDH("ALNY US Equity","ACCT_PAYABLE_ACCRUALS_DETAILED","FQ2 2021","FQ2 2021","Currency=USD","Period=FQ","BEST_FPERIOD_OVERRIDE=FQ","FILING_STATUS=MR","SCALING_FORMAT=MLN","Sort=A","Dates=H","DateFormat=P","Fill=—","Direction=H","UseDPDF=Y")</f>
        <v>394.26600000000002</v>
      </c>
      <c r="M38" s="13">
        <f>_xll.BDH("ALNY US Equity","ACCT_PAYABLE_ACCRUALS_DETAILED","FQ3 2021","FQ3 2021","Currency=USD","Period=FQ","BEST_FPERIOD_OVERRIDE=FQ","FILING_STATUS=MR","SCALING_FORMAT=MLN","Sort=A","Dates=H","DateFormat=P","Fill=—","Direction=H","UseDPDF=Y")</f>
        <v>428.62400000000002</v>
      </c>
      <c r="N38" s="13">
        <f>_xll.BDH("ALNY US Equity","ACCT_PAYABLE_ACCRUALS_DETAILED","FQ4 2021","FQ4 2021","Currency=USD","Period=FQ","BEST_FPERIOD_OVERRIDE=FQ","FILING_STATUS=MR","SCALING_FORMAT=MLN","Sort=A","Dates=H","DateFormat=P","Fill=—","Direction=H","UseDPDF=Y")</f>
        <v>468.6</v>
      </c>
      <c r="O38" s="13">
        <f>_xll.BDH("ALNY US Equity","ACCT_PAYABLE_ACCRUALS_DETAILED","FQ1 2022","FQ1 2022","Currency=USD","Period=FQ","BEST_FPERIOD_OVERRIDE=FQ","FILING_STATUS=MR","SCALING_FORMAT=MLN","Sort=A","Dates=H","DateFormat=P","Fill=—","Direction=H","UseDPDF=Y")</f>
        <v>410.85199999999998</v>
      </c>
      <c r="P38" s="13">
        <f>_xll.BDH("ALNY US Equity","ACCT_PAYABLE_ACCRUALS_DETAILED","FQ2 2022","FQ2 2022","Currency=USD","Period=FQ","BEST_FPERIOD_OVERRIDE=FQ","FILING_STATUS=MR","SCALING_FORMAT=MLN","Sort=A","Dates=H","DateFormat=P","Fill=—","Direction=H","UseDPDF=Y")</f>
        <v>473.661</v>
      </c>
      <c r="Q38" s="13">
        <f>_xll.BDH("ALNY US Equity","ACCT_PAYABLE_ACCRUALS_DETAILED","FQ3 2022","FQ3 2022","Currency=USD","Period=FQ","BEST_FPERIOD_OVERRIDE=FQ","FILING_STATUS=MR","SCALING_FORMAT=MLN","Sort=A","Dates=H","DateFormat=P","Fill=—","Direction=H","UseDPDF=Y")</f>
        <v>551.15099999999995</v>
      </c>
      <c r="R38" s="13">
        <f>_xll.BDH("ALNY US Equity","ACCT_PAYABLE_ACCRUALS_DETAILED","FQ4 2022","FQ4 2022","Currency=USD","Period=FQ","BEST_FPERIOD_OVERRIDE=FQ","FILING_STATUS=MR","SCALING_FORMAT=MLN","Sort=A","Dates=H","DateFormat=P","Fill=—","Direction=H","UseDPDF=Y")</f>
        <v>643.55399999999997</v>
      </c>
      <c r="S38" s="13">
        <f>_xll.BDH("ALNY US Equity","ACCT_PAYABLE_ACCRUALS_DETAILED","FQ1 2023","FQ1 2023","Currency=USD","Period=FQ","BEST_FPERIOD_OVERRIDE=FQ","FILING_STATUS=MR","SCALING_FORMAT=MLN","Sort=A","Dates=H","DateFormat=P","Fill=—","Direction=H","UseDPDF=Y")</f>
        <v>570.83600000000001</v>
      </c>
      <c r="T38" s="13">
        <f>_xll.BDH("ALNY US Equity","ACCT_PAYABLE_ACCRUALS_DETAILED","FQ2 2023","FQ2 2023","Currency=USD","Period=FQ","BEST_FPERIOD_OVERRIDE=FQ","FILING_STATUS=MR","SCALING_FORMAT=MLN","Sort=A","Dates=H","DateFormat=P","Fill=—","Direction=H","UseDPDF=Y")</f>
        <v>658.27599999999995</v>
      </c>
      <c r="U38" s="13">
        <f>_xll.BDH("ALNY US Equity","ACCT_PAYABLE_ACCRUALS_DETAILED","FQ3 2023","FQ3 2023","Currency=USD","Period=FQ","BEST_FPERIOD_OVERRIDE=FQ","FILING_STATUS=MR","SCALING_FORMAT=MLN","Sort=A","Dates=H","DateFormat=P","Fill=—","Direction=H","UseDPDF=Y")</f>
        <v>786.93399999999997</v>
      </c>
      <c r="V38" s="13">
        <f>_xll.BDH("ALNY US Equity","ACCT_PAYABLE_ACCRUALS_DETAILED","FQ4 2023","FQ4 2023","Currency=USD","Period=FQ","BEST_FPERIOD_OVERRIDE=FQ","FILING_STATUS=MR","SCALING_FORMAT=MLN","Sort=A","Dates=H","DateFormat=P","Fill=—","Direction=H","UseDPDF=Y")</f>
        <v>768.53200000000004</v>
      </c>
      <c r="W38" s="13">
        <f>_xll.BDH("ALNY US Equity","ACCT_PAYABLE_ACCRUALS_DETAILED","FQ1 2024","FQ1 2024","Currency=USD","Period=FQ","BEST_FPERIOD_OVERRIDE=FQ","FILING_STATUS=MR","SCALING_FORMAT=MLN","Sort=A","Dates=H","DateFormat=P","Fill=—","Direction=H","UseDPDF=Y")</f>
        <v>777.01300000000003</v>
      </c>
      <c r="X38" s="13">
        <f>_xll.BDH("ALNY US Equity","ACCT_PAYABLE_ACCRUALS_DETAILED","FQ2 2024","FQ2 2024","Currency=USD","Period=FQ","BEST_FPERIOD_OVERRIDE=FQ","FILING_STATUS=MR","SCALING_FORMAT=MLN","Sort=A","Dates=H","DateFormat=P","Fill=—","Direction=H","UseDPDF=Y")</f>
        <v>882.62300000000005</v>
      </c>
      <c r="Y38" s="13">
        <f>_xll.BDH("ALNY US Equity","ACCT_PAYABLE_ACCRUALS_DETAILED","FQ3 2024","FQ3 2024","Currency=USD","Period=FQ","BEST_FPERIOD_OVERRIDE=FQ","FILING_STATUS=MR","SCALING_FORMAT=MLN","Sort=A","Dates=H","DateFormat=P","Fill=—","Direction=H","UseDPDF=Y")</f>
        <v>1016.973</v>
      </c>
      <c r="Z38" s="13">
        <f>_xll.BDH("ALNY US Equity","ACCT_PAYABLE_ACCRUALS_DETAILED","FQ4 2024","FQ4 2024","Currency=USD","Period=FQ","BEST_FPERIOD_OVERRIDE=FQ","FILING_STATUS=MR","SCALING_FORMAT=MLN","Sort=A","Dates=H","DateFormat=P","Fill=—","Direction=H","UseDPDF=Y")</f>
        <v>975.88699999999994</v>
      </c>
    </row>
    <row r="39" spans="1:26" x14ac:dyDescent="0.25">
      <c r="A39" s="10" t="s">
        <v>234</v>
      </c>
      <c r="B39" s="10" t="s">
        <v>235</v>
      </c>
      <c r="C39" s="13">
        <f>_xll.BDH("ALNY US Equity","BS_ACCT_PAYABLE","FQ1 2019","FQ1 2019","Currency=USD","Period=FQ","BEST_FPERIOD_OVERRIDE=FQ","FILING_STATUS=MR","SCALING_FORMAT=MLN","Sort=A","Dates=H","DateFormat=P","Fill=—","Direction=H","UseDPDF=Y")</f>
        <v>22.670999999999999</v>
      </c>
      <c r="D39" s="13">
        <f>_xll.BDH("ALNY US Equity","BS_ACCT_PAYABLE","FQ2 2019","FQ2 2019","Currency=USD","Period=FQ","BEST_FPERIOD_OVERRIDE=FQ","FILING_STATUS=MR","SCALING_FORMAT=MLN","Sort=A","Dates=H","DateFormat=P","Fill=—","Direction=H","UseDPDF=Y")</f>
        <v>71.215000000000003</v>
      </c>
      <c r="E39" s="13">
        <f>_xll.BDH("ALNY US Equity","BS_ACCT_PAYABLE","FQ3 2019","FQ3 2019","Currency=USD","Period=FQ","BEST_FPERIOD_OVERRIDE=FQ","FILING_STATUS=MR","SCALING_FORMAT=MLN","Sort=A","Dates=H","DateFormat=P","Fill=—","Direction=H","UseDPDF=Y")</f>
        <v>39.392000000000003</v>
      </c>
      <c r="F39" s="13">
        <f>_xll.BDH("ALNY US Equity","BS_ACCT_PAYABLE","FQ4 2019","FQ4 2019","Currency=USD","Period=FQ","BEST_FPERIOD_OVERRIDE=FQ","FILING_STATUS=MR","SCALING_FORMAT=MLN","Sort=A","Dates=H","DateFormat=P","Fill=—","Direction=H","UseDPDF=Y")</f>
        <v>49.884</v>
      </c>
      <c r="G39" s="13">
        <f>_xll.BDH("ALNY US Equity","BS_ACCT_PAYABLE","FQ1 2020","FQ1 2020","Currency=USD","Period=FQ","BEST_FPERIOD_OVERRIDE=FQ","FILING_STATUS=MR","SCALING_FORMAT=MLN","Sort=A","Dates=H","DateFormat=P","Fill=—","Direction=H","UseDPDF=Y")</f>
        <v>40.484000000000002</v>
      </c>
      <c r="H39" s="13">
        <f>_xll.BDH("ALNY US Equity","BS_ACCT_PAYABLE","FQ2 2020","FQ2 2020","Currency=USD","Period=FQ","BEST_FPERIOD_OVERRIDE=FQ","FILING_STATUS=MR","SCALING_FORMAT=MLN","Sort=A","Dates=H","DateFormat=P","Fill=—","Direction=H","UseDPDF=Y")</f>
        <v>26.125</v>
      </c>
      <c r="I39" s="13">
        <f>_xll.BDH("ALNY US Equity","BS_ACCT_PAYABLE","FQ3 2020","FQ3 2020","Currency=USD","Period=FQ","BEST_FPERIOD_OVERRIDE=FQ","FILING_STATUS=MR","SCALING_FORMAT=MLN","Sort=A","Dates=H","DateFormat=P","Fill=—","Direction=H","UseDPDF=Y")</f>
        <v>27.872</v>
      </c>
      <c r="J39" s="13">
        <f>_xll.BDH("ALNY US Equity","BS_ACCT_PAYABLE","FQ4 2020","FQ4 2020","Currency=USD","Period=FQ","BEST_FPERIOD_OVERRIDE=FQ","FILING_STATUS=MR","SCALING_FORMAT=MLN","Sort=A","Dates=H","DateFormat=P","Fill=—","Direction=H","UseDPDF=Y")</f>
        <v>51.966000000000001</v>
      </c>
      <c r="K39" s="13">
        <f>_xll.BDH("ALNY US Equity","BS_ACCT_PAYABLE","FQ1 2021","FQ1 2021","Currency=USD","Period=FQ","BEST_FPERIOD_OVERRIDE=FQ","FILING_STATUS=MR","SCALING_FORMAT=MLN","Sort=A","Dates=H","DateFormat=P","Fill=—","Direction=H","UseDPDF=Y")</f>
        <v>45.381</v>
      </c>
      <c r="L39" s="13">
        <f>_xll.BDH("ALNY US Equity","BS_ACCT_PAYABLE","FQ2 2021","FQ2 2021","Currency=USD","Period=FQ","BEST_FPERIOD_OVERRIDE=FQ","FILING_STATUS=MR","SCALING_FORMAT=MLN","Sort=A","Dates=H","DateFormat=P","Fill=—","Direction=H","UseDPDF=Y")</f>
        <v>53.079000000000001</v>
      </c>
      <c r="M39" s="13">
        <f>_xll.BDH("ALNY US Equity","BS_ACCT_PAYABLE","FQ3 2021","FQ3 2021","Currency=USD","Period=FQ","BEST_FPERIOD_OVERRIDE=FQ","FILING_STATUS=MR","SCALING_FORMAT=MLN","Sort=A","Dates=H","DateFormat=P","Fill=—","Direction=H","UseDPDF=Y")</f>
        <v>40.048000000000002</v>
      </c>
      <c r="N39" s="13">
        <f>_xll.BDH("ALNY US Equity","BS_ACCT_PAYABLE","FQ4 2021","FQ4 2021","Currency=USD","Period=FQ","BEST_FPERIOD_OVERRIDE=FQ","FILING_STATUS=MR","SCALING_FORMAT=MLN","Sort=A","Dates=H","DateFormat=P","Fill=—","Direction=H","UseDPDF=Y")</f>
        <v>73.426000000000002</v>
      </c>
      <c r="O39" s="13">
        <f>_xll.BDH("ALNY US Equity","BS_ACCT_PAYABLE","FQ1 2022","FQ1 2022","Currency=USD","Period=FQ","BEST_FPERIOD_OVERRIDE=FQ","FILING_STATUS=MR","SCALING_FORMAT=MLN","Sort=A","Dates=H","DateFormat=P","Fill=—","Direction=H","UseDPDF=Y")</f>
        <v>54.915999999999997</v>
      </c>
      <c r="P39" s="13">
        <f>_xll.BDH("ALNY US Equity","BS_ACCT_PAYABLE","FQ2 2022","FQ2 2022","Currency=USD","Period=FQ","BEST_FPERIOD_OVERRIDE=FQ","FILING_STATUS=MR","SCALING_FORMAT=MLN","Sort=A","Dates=H","DateFormat=P","Fill=—","Direction=H","UseDPDF=Y")</f>
        <v>52.417999999999999</v>
      </c>
      <c r="Q39" s="13">
        <f>_xll.BDH("ALNY US Equity","BS_ACCT_PAYABLE","FQ3 2022","FQ3 2022","Currency=USD","Period=FQ","BEST_FPERIOD_OVERRIDE=FQ","FILING_STATUS=MR","SCALING_FORMAT=MLN","Sort=A","Dates=H","DateFormat=P","Fill=—","Direction=H","UseDPDF=Y")</f>
        <v>40.572000000000003</v>
      </c>
      <c r="R39" s="13">
        <f>_xll.BDH("ALNY US Equity","BS_ACCT_PAYABLE","FQ4 2022","FQ4 2022","Currency=USD","Period=FQ","BEST_FPERIOD_OVERRIDE=FQ","FILING_STATUS=MR","SCALING_FORMAT=MLN","Sort=A","Dates=H","DateFormat=P","Fill=—","Direction=H","UseDPDF=Y")</f>
        <v>98.093999999999994</v>
      </c>
      <c r="S39" s="13">
        <f>_xll.BDH("ALNY US Equity","BS_ACCT_PAYABLE","FQ1 2023","FQ1 2023","Currency=USD","Period=FQ","BEST_FPERIOD_OVERRIDE=FQ","FILING_STATUS=MR","SCALING_FORMAT=MLN","Sort=A","Dates=H","DateFormat=P","Fill=—","Direction=H","UseDPDF=Y")</f>
        <v>62.237000000000002</v>
      </c>
      <c r="T39" s="13">
        <f>_xll.BDH("ALNY US Equity","BS_ACCT_PAYABLE","FQ2 2023","FQ2 2023","Currency=USD","Period=FQ","BEST_FPERIOD_OVERRIDE=FQ","FILING_STATUS=MR","SCALING_FORMAT=MLN","Sort=A","Dates=H","DateFormat=P","Fill=—","Direction=H","UseDPDF=Y")</f>
        <v>59.746000000000002</v>
      </c>
      <c r="U39" s="13">
        <f>_xll.BDH("ALNY US Equity","BS_ACCT_PAYABLE","FQ3 2023","FQ3 2023","Currency=USD","Period=FQ","BEST_FPERIOD_OVERRIDE=FQ","FILING_STATUS=MR","SCALING_FORMAT=MLN","Sort=A","Dates=H","DateFormat=P","Fill=—","Direction=H","UseDPDF=Y")</f>
        <v>73.84</v>
      </c>
      <c r="V39" s="13">
        <f>_xll.BDH("ALNY US Equity","BS_ACCT_PAYABLE","FQ4 2023","FQ4 2023","Currency=USD","Period=FQ","BEST_FPERIOD_OVERRIDE=FQ","FILING_STATUS=MR","SCALING_FORMAT=MLN","Sort=A","Dates=H","DateFormat=P","Fill=—","Direction=H","UseDPDF=Y")</f>
        <v>55.518999999999998</v>
      </c>
      <c r="W39" s="13">
        <f>_xll.BDH("ALNY US Equity","BS_ACCT_PAYABLE","FQ1 2024","FQ1 2024","Currency=USD","Period=FQ","BEST_FPERIOD_OVERRIDE=FQ","FILING_STATUS=MR","SCALING_FORMAT=MLN","Sort=A","Dates=H","DateFormat=P","Fill=—","Direction=H","UseDPDF=Y")</f>
        <v>78.147999999999996</v>
      </c>
      <c r="X39" s="13">
        <f>_xll.BDH("ALNY US Equity","BS_ACCT_PAYABLE","FQ2 2024","FQ2 2024","Currency=USD","Period=FQ","BEST_FPERIOD_OVERRIDE=FQ","FILING_STATUS=MR","SCALING_FORMAT=MLN","Sort=A","Dates=H","DateFormat=P","Fill=—","Direction=H","UseDPDF=Y")</f>
        <v>73.98</v>
      </c>
      <c r="Y39" s="13">
        <f>_xll.BDH("ALNY US Equity","BS_ACCT_PAYABLE","FQ3 2024","FQ3 2024","Currency=USD","Period=FQ","BEST_FPERIOD_OVERRIDE=FQ","FILING_STATUS=MR","SCALING_FORMAT=MLN","Sort=A","Dates=H","DateFormat=P","Fill=—","Direction=H","UseDPDF=Y")</f>
        <v>70.805000000000007</v>
      </c>
      <c r="Z39" s="13">
        <f>_xll.BDH("ALNY US Equity","BS_ACCT_PAYABLE","FQ4 2024","FQ4 2024","Currency=USD","Period=FQ","BEST_FPERIOD_OVERRIDE=FQ","FILING_STATUS=MR","SCALING_FORMAT=MLN","Sort=A","Dates=H","DateFormat=P","Fill=—","Direction=H","UseDPDF=Y")</f>
        <v>88.415000000000006</v>
      </c>
    </row>
    <row r="40" spans="1:26" x14ac:dyDescent="0.25">
      <c r="A40" s="10" t="s">
        <v>236</v>
      </c>
      <c r="B40" s="10" t="s">
        <v>237</v>
      </c>
      <c r="C40" s="13" t="str">
        <f>_xll.BDH("ALNY US Equity","BS_TAXES_PAYABLE","FQ1 2019","FQ1 2019","Currency=USD","Period=FQ","BEST_FPERIOD_OVERRIDE=FQ","FILING_STATUS=MR","SCALING_FORMAT=MLN","Sort=A","Dates=H","DateFormat=P","Fill=—","Direction=H","UseDPDF=Y")</f>
        <v>—</v>
      </c>
      <c r="D40" s="13" t="str">
        <f>_xll.BDH("ALNY US Equity","BS_TAXES_PAYABLE","FQ2 2019","FQ2 2019","Currency=USD","Period=FQ","BEST_FPERIOD_OVERRIDE=FQ","FILING_STATUS=MR","SCALING_FORMAT=MLN","Sort=A","Dates=H","DateFormat=P","Fill=—","Direction=H","UseDPDF=Y")</f>
        <v>—</v>
      </c>
      <c r="E40" s="13" t="str">
        <f>_xll.BDH("ALNY US Equity","BS_TAXES_PAYABLE","FQ3 2019","FQ3 2019","Currency=USD","Period=FQ","BEST_FPERIOD_OVERRIDE=FQ","FILING_STATUS=MR","SCALING_FORMAT=MLN","Sort=A","Dates=H","DateFormat=P","Fill=—","Direction=H","UseDPDF=Y")</f>
        <v>—</v>
      </c>
      <c r="F40" s="13">
        <f>_xll.BDH("ALNY US Equity","BS_TAXES_PAYABLE","FQ4 2019","FQ4 2019","Currency=USD","Period=FQ","BEST_FPERIOD_OVERRIDE=FQ","FILING_STATUS=MR","SCALING_FORMAT=MLN","Sort=A","Dates=H","DateFormat=P","Fill=—","Direction=H","UseDPDF=Y")</f>
        <v>0</v>
      </c>
      <c r="G40" s="13" t="str">
        <f>_xll.BDH("ALNY US Equity","BS_TAXES_PAYABLE","FQ1 2020","FQ1 2020","Currency=USD","Period=FQ","BEST_FPERIOD_OVERRIDE=FQ","FILING_STATUS=MR","SCALING_FORMAT=MLN","Sort=A","Dates=H","DateFormat=P","Fill=—","Direction=H","UseDPDF=Y")</f>
        <v>—</v>
      </c>
      <c r="H40" s="13" t="str">
        <f>_xll.BDH("ALNY US Equity","BS_TAXES_PAYABLE","FQ2 2020","FQ2 2020","Currency=USD","Period=FQ","BEST_FPERIOD_OVERRIDE=FQ","FILING_STATUS=MR","SCALING_FORMAT=MLN","Sort=A","Dates=H","DateFormat=P","Fill=—","Direction=H","UseDPDF=Y")</f>
        <v>—</v>
      </c>
      <c r="I40" s="13" t="str">
        <f>_xll.BDH("ALNY US Equity","BS_TAXES_PAYABLE","FQ3 2020","FQ3 2020","Currency=USD","Period=FQ","BEST_FPERIOD_OVERRIDE=FQ","FILING_STATUS=MR","SCALING_FORMAT=MLN","Sort=A","Dates=H","DateFormat=P","Fill=—","Direction=H","UseDPDF=Y")</f>
        <v>—</v>
      </c>
      <c r="J40" s="13">
        <f>_xll.BDH("ALNY US Equity","BS_TAXES_PAYABLE","FQ4 2020","FQ4 2020","Currency=USD","Period=FQ","BEST_FPERIOD_OVERRIDE=FQ","FILING_STATUS=MR","SCALING_FORMAT=MLN","Sort=A","Dates=H","DateFormat=P","Fill=—","Direction=H","UseDPDF=Y")</f>
        <v>0</v>
      </c>
      <c r="K40" s="13" t="str">
        <f>_xll.BDH("ALNY US Equity","BS_TAXES_PAYABLE","FQ1 2021","FQ1 2021","Currency=USD","Period=FQ","BEST_FPERIOD_OVERRIDE=FQ","FILING_STATUS=MR","SCALING_FORMAT=MLN","Sort=A","Dates=H","DateFormat=P","Fill=—","Direction=H","UseDPDF=Y")</f>
        <v>—</v>
      </c>
      <c r="L40" s="13" t="str">
        <f>_xll.BDH("ALNY US Equity","BS_TAXES_PAYABLE","FQ2 2021","FQ2 2021","Currency=USD","Period=FQ","BEST_FPERIOD_OVERRIDE=FQ","FILING_STATUS=MR","SCALING_FORMAT=MLN","Sort=A","Dates=H","DateFormat=P","Fill=—","Direction=H","UseDPDF=Y")</f>
        <v>—</v>
      </c>
      <c r="M40" s="13" t="str">
        <f>_xll.BDH("ALNY US Equity","BS_TAXES_PAYABLE","FQ3 2021","FQ3 2021","Currency=USD","Period=FQ","BEST_FPERIOD_OVERRIDE=FQ","FILING_STATUS=MR","SCALING_FORMAT=MLN","Sort=A","Dates=H","DateFormat=P","Fill=—","Direction=H","UseDPDF=Y")</f>
        <v>—</v>
      </c>
      <c r="N40" s="13">
        <f>_xll.BDH("ALNY US Equity","BS_TAXES_PAYABLE","FQ4 2021","FQ4 2021","Currency=USD","Period=FQ","BEST_FPERIOD_OVERRIDE=FQ","FILING_STATUS=MR","SCALING_FORMAT=MLN","Sort=A","Dates=H","DateFormat=P","Fill=—","Direction=H","UseDPDF=Y")</f>
        <v>0</v>
      </c>
      <c r="O40" s="13" t="str">
        <f>_xll.BDH("ALNY US Equity","BS_TAXES_PAYABLE","FQ1 2022","FQ1 2022","Currency=USD","Period=FQ","BEST_FPERIOD_OVERRIDE=FQ","FILING_STATUS=MR","SCALING_FORMAT=MLN","Sort=A","Dates=H","DateFormat=P","Fill=—","Direction=H","UseDPDF=Y")</f>
        <v>—</v>
      </c>
      <c r="P40" s="13" t="str">
        <f>_xll.BDH("ALNY US Equity","BS_TAXES_PAYABLE","FQ2 2022","FQ2 2022","Currency=USD","Period=FQ","BEST_FPERIOD_OVERRIDE=FQ","FILING_STATUS=MR","SCALING_FORMAT=MLN","Sort=A","Dates=H","DateFormat=P","Fill=—","Direction=H","UseDPDF=Y")</f>
        <v>—</v>
      </c>
      <c r="Q40" s="13" t="str">
        <f>_xll.BDH("ALNY US Equity","BS_TAXES_PAYABLE","FQ3 2022","FQ3 2022","Currency=USD","Period=FQ","BEST_FPERIOD_OVERRIDE=FQ","FILING_STATUS=MR","SCALING_FORMAT=MLN","Sort=A","Dates=H","DateFormat=P","Fill=—","Direction=H","UseDPDF=Y")</f>
        <v>—</v>
      </c>
      <c r="R40" s="13">
        <f>_xll.BDH("ALNY US Equity","BS_TAXES_PAYABLE","FQ4 2022","FQ4 2022","Currency=USD","Period=FQ","BEST_FPERIOD_OVERRIDE=FQ","FILING_STATUS=MR","SCALING_FORMAT=MLN","Sort=A","Dates=H","DateFormat=P","Fill=—","Direction=H","UseDPDF=Y")</f>
        <v>0</v>
      </c>
      <c r="S40" s="13" t="str">
        <f>_xll.BDH("ALNY US Equity","BS_TAXES_PAYABLE","FQ1 2023","FQ1 2023","Currency=USD","Period=FQ","BEST_FPERIOD_OVERRIDE=FQ","FILING_STATUS=MR","SCALING_FORMAT=MLN","Sort=A","Dates=H","DateFormat=P","Fill=—","Direction=H","UseDPDF=Y")</f>
        <v>—</v>
      </c>
      <c r="T40" s="13" t="str">
        <f>_xll.BDH("ALNY US Equity","BS_TAXES_PAYABLE","FQ2 2023","FQ2 2023","Currency=USD","Period=FQ","BEST_FPERIOD_OVERRIDE=FQ","FILING_STATUS=MR","SCALING_FORMAT=MLN","Sort=A","Dates=H","DateFormat=P","Fill=—","Direction=H","UseDPDF=Y")</f>
        <v>—</v>
      </c>
      <c r="U40" s="13" t="str">
        <f>_xll.BDH("ALNY US Equity","BS_TAXES_PAYABLE","FQ3 2023","FQ3 2023","Currency=USD","Period=FQ","BEST_FPERIOD_OVERRIDE=FQ","FILING_STATUS=MR","SCALING_FORMAT=MLN","Sort=A","Dates=H","DateFormat=P","Fill=—","Direction=H","UseDPDF=Y")</f>
        <v>—</v>
      </c>
      <c r="V40" s="13">
        <f>_xll.BDH("ALNY US Equity","BS_TAXES_PAYABLE","FQ4 2023","FQ4 2023","Currency=USD","Period=FQ","BEST_FPERIOD_OVERRIDE=FQ","FILING_STATUS=MR","SCALING_FORMAT=MLN","Sort=A","Dates=H","DateFormat=P","Fill=—","Direction=H","UseDPDF=Y")</f>
        <v>0</v>
      </c>
      <c r="W40" s="13" t="str">
        <f>_xll.BDH("ALNY US Equity","BS_TAXES_PAYABLE","FQ1 2024","FQ1 2024","Currency=USD","Period=FQ","BEST_FPERIOD_OVERRIDE=FQ","FILING_STATUS=MR","SCALING_FORMAT=MLN","Sort=A","Dates=H","DateFormat=P","Fill=—","Direction=H","UseDPDF=Y")</f>
        <v>—</v>
      </c>
      <c r="X40" s="13" t="str">
        <f>_xll.BDH("ALNY US Equity","BS_TAXES_PAYABLE","FQ2 2024","FQ2 2024","Currency=USD","Period=FQ","BEST_FPERIOD_OVERRIDE=FQ","FILING_STATUS=MR","SCALING_FORMAT=MLN","Sort=A","Dates=H","DateFormat=P","Fill=—","Direction=H","UseDPDF=Y")</f>
        <v>—</v>
      </c>
      <c r="Y40" s="13" t="str">
        <f>_xll.BDH("ALNY US Equity","BS_TAXES_PAYABLE","FQ3 2024","FQ3 2024","Currency=USD","Period=FQ","BEST_FPERIOD_OVERRIDE=FQ","FILING_STATUS=MR","SCALING_FORMAT=MLN","Sort=A","Dates=H","DateFormat=P","Fill=—","Direction=H","UseDPDF=Y")</f>
        <v>—</v>
      </c>
      <c r="Z40" s="13">
        <f>_xll.BDH("ALNY US Equity","BS_TAXES_PAYABLE","FQ4 2024","FQ4 2024","Currency=USD","Period=FQ","BEST_FPERIOD_OVERRIDE=FQ","FILING_STATUS=MR","SCALING_FORMAT=MLN","Sort=A","Dates=H","DateFormat=P","Fill=—","Direction=H","UseDPDF=Y")</f>
        <v>0</v>
      </c>
    </row>
    <row r="41" spans="1:26" x14ac:dyDescent="0.25">
      <c r="A41" s="10" t="s">
        <v>238</v>
      </c>
      <c r="B41" s="10" t="s">
        <v>239</v>
      </c>
      <c r="C41" s="13" t="str">
        <f>_xll.BDH("ALNY US Equity","INTEREST_DIVIDENDS_PAYABLE","FQ1 2019","FQ1 2019","Currency=USD","Period=FQ","BEST_FPERIOD_OVERRIDE=FQ","FILING_STATUS=MR","SCALING_FORMAT=MLN","Sort=A","Dates=H","DateFormat=P","Fill=—","Direction=H","UseDPDF=Y")</f>
        <v>—</v>
      </c>
      <c r="D41" s="13" t="str">
        <f>_xll.BDH("ALNY US Equity","INTEREST_DIVIDENDS_PAYABLE","FQ2 2019","FQ2 2019","Currency=USD","Period=FQ","BEST_FPERIOD_OVERRIDE=FQ","FILING_STATUS=MR","SCALING_FORMAT=MLN","Sort=A","Dates=H","DateFormat=P","Fill=—","Direction=H","UseDPDF=Y")</f>
        <v>—</v>
      </c>
      <c r="E41" s="13" t="str">
        <f>_xll.BDH("ALNY US Equity","INTEREST_DIVIDENDS_PAYABLE","FQ3 2019","FQ3 2019","Currency=USD","Period=FQ","BEST_FPERIOD_OVERRIDE=FQ","FILING_STATUS=MR","SCALING_FORMAT=MLN","Sort=A","Dates=H","DateFormat=P","Fill=—","Direction=H","UseDPDF=Y")</f>
        <v>—</v>
      </c>
      <c r="F41" s="13">
        <f>_xll.BDH("ALNY US Equity","INTEREST_DIVIDENDS_PAYABLE","FQ4 2019","FQ4 2019","Currency=USD","Period=FQ","BEST_FPERIOD_OVERRIDE=FQ","FILING_STATUS=MR","SCALING_FORMAT=MLN","Sort=A","Dates=H","DateFormat=P","Fill=—","Direction=H","UseDPDF=Y")</f>
        <v>0</v>
      </c>
      <c r="G41" s="13" t="str">
        <f>_xll.BDH("ALNY US Equity","INTEREST_DIVIDENDS_PAYABLE","FQ1 2020","FQ1 2020","Currency=USD","Period=FQ","BEST_FPERIOD_OVERRIDE=FQ","FILING_STATUS=MR","SCALING_FORMAT=MLN","Sort=A","Dates=H","DateFormat=P","Fill=—","Direction=H","UseDPDF=Y")</f>
        <v>—</v>
      </c>
      <c r="H41" s="13" t="str">
        <f>_xll.BDH("ALNY US Equity","INTEREST_DIVIDENDS_PAYABLE","FQ2 2020","FQ2 2020","Currency=USD","Period=FQ","BEST_FPERIOD_OVERRIDE=FQ","FILING_STATUS=MR","SCALING_FORMAT=MLN","Sort=A","Dates=H","DateFormat=P","Fill=—","Direction=H","UseDPDF=Y")</f>
        <v>—</v>
      </c>
      <c r="I41" s="13" t="str">
        <f>_xll.BDH("ALNY US Equity","INTEREST_DIVIDENDS_PAYABLE","FQ3 2020","FQ3 2020","Currency=USD","Period=FQ","BEST_FPERIOD_OVERRIDE=FQ","FILING_STATUS=MR","SCALING_FORMAT=MLN","Sort=A","Dates=H","DateFormat=P","Fill=—","Direction=H","UseDPDF=Y")</f>
        <v>—</v>
      </c>
      <c r="J41" s="13">
        <f>_xll.BDH("ALNY US Equity","INTEREST_DIVIDENDS_PAYABLE","FQ4 2020","FQ4 2020","Currency=USD","Period=FQ","BEST_FPERIOD_OVERRIDE=FQ","FILING_STATUS=MR","SCALING_FORMAT=MLN","Sort=A","Dates=H","DateFormat=P","Fill=—","Direction=H","UseDPDF=Y")</f>
        <v>0</v>
      </c>
      <c r="K41" s="13" t="str">
        <f>_xll.BDH("ALNY US Equity","INTEREST_DIVIDENDS_PAYABLE","FQ1 2021","FQ1 2021","Currency=USD","Period=FQ","BEST_FPERIOD_OVERRIDE=FQ","FILING_STATUS=MR","SCALING_FORMAT=MLN","Sort=A","Dates=H","DateFormat=P","Fill=—","Direction=H","UseDPDF=Y")</f>
        <v>—</v>
      </c>
      <c r="L41" s="13" t="str">
        <f>_xll.BDH("ALNY US Equity","INTEREST_DIVIDENDS_PAYABLE","FQ2 2021","FQ2 2021","Currency=USD","Period=FQ","BEST_FPERIOD_OVERRIDE=FQ","FILING_STATUS=MR","SCALING_FORMAT=MLN","Sort=A","Dates=H","DateFormat=P","Fill=—","Direction=H","UseDPDF=Y")</f>
        <v>—</v>
      </c>
      <c r="M41" s="13" t="str">
        <f>_xll.BDH("ALNY US Equity","INTEREST_DIVIDENDS_PAYABLE","FQ3 2021","FQ3 2021","Currency=USD","Period=FQ","BEST_FPERIOD_OVERRIDE=FQ","FILING_STATUS=MR","SCALING_FORMAT=MLN","Sort=A","Dates=H","DateFormat=P","Fill=—","Direction=H","UseDPDF=Y")</f>
        <v>—</v>
      </c>
      <c r="N41" s="13">
        <f>_xll.BDH("ALNY US Equity","INTEREST_DIVIDENDS_PAYABLE","FQ4 2021","FQ4 2021","Currency=USD","Period=FQ","BEST_FPERIOD_OVERRIDE=FQ","FILING_STATUS=MR","SCALING_FORMAT=MLN","Sort=A","Dates=H","DateFormat=P","Fill=—","Direction=H","UseDPDF=Y")</f>
        <v>0</v>
      </c>
      <c r="O41" s="13" t="str">
        <f>_xll.BDH("ALNY US Equity","INTEREST_DIVIDENDS_PAYABLE","FQ1 2022","FQ1 2022","Currency=USD","Period=FQ","BEST_FPERIOD_OVERRIDE=FQ","FILING_STATUS=MR","SCALING_FORMAT=MLN","Sort=A","Dates=H","DateFormat=P","Fill=—","Direction=H","UseDPDF=Y")</f>
        <v>—</v>
      </c>
      <c r="P41" s="13" t="str">
        <f>_xll.BDH("ALNY US Equity","INTEREST_DIVIDENDS_PAYABLE","FQ2 2022","FQ2 2022","Currency=USD","Period=FQ","BEST_FPERIOD_OVERRIDE=FQ","FILING_STATUS=MR","SCALING_FORMAT=MLN","Sort=A","Dates=H","DateFormat=P","Fill=—","Direction=H","UseDPDF=Y")</f>
        <v>—</v>
      </c>
      <c r="Q41" s="13" t="str">
        <f>_xll.BDH("ALNY US Equity","INTEREST_DIVIDENDS_PAYABLE","FQ3 2022","FQ3 2022","Currency=USD","Period=FQ","BEST_FPERIOD_OVERRIDE=FQ","FILING_STATUS=MR","SCALING_FORMAT=MLN","Sort=A","Dates=H","DateFormat=P","Fill=—","Direction=H","UseDPDF=Y")</f>
        <v>—</v>
      </c>
      <c r="R41" s="13">
        <f>_xll.BDH("ALNY US Equity","INTEREST_DIVIDENDS_PAYABLE","FQ4 2022","FQ4 2022","Currency=USD","Period=FQ","BEST_FPERIOD_OVERRIDE=FQ","FILING_STATUS=MR","SCALING_FORMAT=MLN","Sort=A","Dates=H","DateFormat=P","Fill=—","Direction=H","UseDPDF=Y")</f>
        <v>0</v>
      </c>
      <c r="S41" s="13" t="str">
        <f>_xll.BDH("ALNY US Equity","INTEREST_DIVIDENDS_PAYABLE","FQ1 2023","FQ1 2023","Currency=USD","Period=FQ","BEST_FPERIOD_OVERRIDE=FQ","FILING_STATUS=MR","SCALING_FORMAT=MLN","Sort=A","Dates=H","DateFormat=P","Fill=—","Direction=H","UseDPDF=Y")</f>
        <v>—</v>
      </c>
      <c r="T41" s="13" t="str">
        <f>_xll.BDH("ALNY US Equity","INTEREST_DIVIDENDS_PAYABLE","FQ2 2023","FQ2 2023","Currency=USD","Period=FQ","BEST_FPERIOD_OVERRIDE=FQ","FILING_STATUS=MR","SCALING_FORMAT=MLN","Sort=A","Dates=H","DateFormat=P","Fill=—","Direction=H","UseDPDF=Y")</f>
        <v>—</v>
      </c>
      <c r="U41" s="13" t="str">
        <f>_xll.BDH("ALNY US Equity","INTEREST_DIVIDENDS_PAYABLE","FQ3 2023","FQ3 2023","Currency=USD","Period=FQ","BEST_FPERIOD_OVERRIDE=FQ","FILING_STATUS=MR","SCALING_FORMAT=MLN","Sort=A","Dates=H","DateFormat=P","Fill=—","Direction=H","UseDPDF=Y")</f>
        <v>—</v>
      </c>
      <c r="V41" s="13">
        <f>_xll.BDH("ALNY US Equity","INTEREST_DIVIDENDS_PAYABLE","FQ4 2023","FQ4 2023","Currency=USD","Period=FQ","BEST_FPERIOD_OVERRIDE=FQ","FILING_STATUS=MR","SCALING_FORMAT=MLN","Sort=A","Dates=H","DateFormat=P","Fill=—","Direction=H","UseDPDF=Y")</f>
        <v>0</v>
      </c>
      <c r="W41" s="13" t="str">
        <f>_xll.BDH("ALNY US Equity","INTEREST_DIVIDENDS_PAYABLE","FQ1 2024","FQ1 2024","Currency=USD","Period=FQ","BEST_FPERIOD_OVERRIDE=FQ","FILING_STATUS=MR","SCALING_FORMAT=MLN","Sort=A","Dates=H","DateFormat=P","Fill=—","Direction=H","UseDPDF=Y")</f>
        <v>—</v>
      </c>
      <c r="X41" s="13" t="str">
        <f>_xll.BDH("ALNY US Equity","INTEREST_DIVIDENDS_PAYABLE","FQ2 2024","FQ2 2024","Currency=USD","Period=FQ","BEST_FPERIOD_OVERRIDE=FQ","FILING_STATUS=MR","SCALING_FORMAT=MLN","Sort=A","Dates=H","DateFormat=P","Fill=—","Direction=H","UseDPDF=Y")</f>
        <v>—</v>
      </c>
      <c r="Y41" s="13" t="str">
        <f>_xll.BDH("ALNY US Equity","INTEREST_DIVIDENDS_PAYABLE","FQ3 2024","FQ3 2024","Currency=USD","Period=FQ","BEST_FPERIOD_OVERRIDE=FQ","FILING_STATUS=MR","SCALING_FORMAT=MLN","Sort=A","Dates=H","DateFormat=P","Fill=—","Direction=H","UseDPDF=Y")</f>
        <v>—</v>
      </c>
      <c r="Z41" s="13">
        <f>_xll.BDH("ALNY US Equity","INTEREST_DIVIDENDS_PAYABLE","FQ4 2024","FQ4 2024","Currency=USD","Period=FQ","BEST_FPERIOD_OVERRIDE=FQ","FILING_STATUS=MR","SCALING_FORMAT=MLN","Sort=A","Dates=H","DateFormat=P","Fill=—","Direction=H","UseDPDF=Y")</f>
        <v>0</v>
      </c>
    </row>
    <row r="42" spans="1:26" x14ac:dyDescent="0.25">
      <c r="A42" s="10" t="s">
        <v>240</v>
      </c>
      <c r="B42" s="10" t="s">
        <v>241</v>
      </c>
      <c r="C42" s="13">
        <f>_xll.BDH("ALNY US Equity","BS_ACCRUAL","FQ1 2019","FQ1 2019","Currency=USD","Period=FQ","BEST_FPERIOD_OVERRIDE=FQ","FILING_STATUS=MR","SCALING_FORMAT=MLN","Sort=A","Dates=H","DateFormat=P","Fill=—","Direction=H","UseDPDF=Y")</f>
        <v>106.873</v>
      </c>
      <c r="D42" s="13">
        <f>_xll.BDH("ALNY US Equity","BS_ACCRUAL","FQ2 2019","FQ2 2019","Currency=USD","Period=FQ","BEST_FPERIOD_OVERRIDE=FQ","FILING_STATUS=MR","SCALING_FORMAT=MLN","Sort=A","Dates=H","DateFormat=P","Fill=—","Direction=H","UseDPDF=Y")</f>
        <v>138.80000000000001</v>
      </c>
      <c r="E42" s="13">
        <f>_xll.BDH("ALNY US Equity","BS_ACCRUAL","FQ3 2019","FQ3 2019","Currency=USD","Period=FQ","BEST_FPERIOD_OVERRIDE=FQ","FILING_STATUS=MR","SCALING_FORMAT=MLN","Sort=A","Dates=H","DateFormat=P","Fill=—","Direction=H","UseDPDF=Y")</f>
        <v>177.94800000000001</v>
      </c>
      <c r="F42" s="13">
        <f>_xll.BDH("ALNY US Equity","BS_ACCRUAL","FQ4 2019","FQ4 2019","Currency=USD","Period=FQ","BEST_FPERIOD_OVERRIDE=FQ","FILING_STATUS=MR","SCALING_FORMAT=MLN","Sort=A","Dates=H","DateFormat=P","Fill=—","Direction=H","UseDPDF=Y")</f>
        <v>197.20099999999999</v>
      </c>
      <c r="G42" s="13">
        <f>_xll.BDH("ALNY US Equity","BS_ACCRUAL","FQ1 2020","FQ1 2020","Currency=USD","Period=FQ","BEST_FPERIOD_OVERRIDE=FQ","FILING_STATUS=MR","SCALING_FORMAT=MLN","Sort=A","Dates=H","DateFormat=P","Fill=—","Direction=H","UseDPDF=Y")</f>
        <v>183.221</v>
      </c>
      <c r="H42" s="13">
        <f>_xll.BDH("ALNY US Equity","BS_ACCRUAL","FQ2 2020","FQ2 2020","Currency=USD","Period=FQ","BEST_FPERIOD_OVERRIDE=FQ","FILING_STATUS=MR","SCALING_FORMAT=MLN","Sort=A","Dates=H","DateFormat=P","Fill=—","Direction=H","UseDPDF=Y")</f>
        <v>211.18600000000001</v>
      </c>
      <c r="I42" s="13">
        <f>_xll.BDH("ALNY US Equity","BS_ACCRUAL","FQ3 2020","FQ3 2020","Currency=USD","Period=FQ","BEST_FPERIOD_OVERRIDE=FQ","FILING_STATUS=MR","SCALING_FORMAT=MLN","Sort=A","Dates=H","DateFormat=P","Fill=—","Direction=H","UseDPDF=Y")</f>
        <v>295.26</v>
      </c>
      <c r="J42" s="13">
        <f>_xll.BDH("ALNY US Equity","BS_ACCRUAL","FQ4 2020","FQ4 2020","Currency=USD","Period=FQ","BEST_FPERIOD_OVERRIDE=FQ","FILING_STATUS=MR","SCALING_FORMAT=MLN","Sort=A","Dates=H","DateFormat=P","Fill=—","Direction=H","UseDPDF=Y")</f>
        <v>355.90899999999999</v>
      </c>
      <c r="K42" s="13">
        <f>_xll.BDH("ALNY US Equity","BS_ACCRUAL","FQ1 2021","FQ1 2021","Currency=USD","Period=FQ","BEST_FPERIOD_OVERRIDE=FQ","FILING_STATUS=MR","SCALING_FORMAT=MLN","Sort=A","Dates=H","DateFormat=P","Fill=—","Direction=H","UseDPDF=Y")</f>
        <v>280.52699999999999</v>
      </c>
      <c r="L42" s="13">
        <f>_xll.BDH("ALNY US Equity","BS_ACCRUAL","FQ2 2021","FQ2 2021","Currency=USD","Period=FQ","BEST_FPERIOD_OVERRIDE=FQ","FILING_STATUS=MR","SCALING_FORMAT=MLN","Sort=A","Dates=H","DateFormat=P","Fill=—","Direction=H","UseDPDF=Y")</f>
        <v>341.18700000000001</v>
      </c>
      <c r="M42" s="13">
        <f>_xll.BDH("ALNY US Equity","BS_ACCRUAL","FQ3 2021","FQ3 2021","Currency=USD","Period=FQ","BEST_FPERIOD_OVERRIDE=FQ","FILING_STATUS=MR","SCALING_FORMAT=MLN","Sort=A","Dates=H","DateFormat=P","Fill=—","Direction=H","UseDPDF=Y")</f>
        <v>388.57600000000002</v>
      </c>
      <c r="N42" s="13">
        <f>_xll.BDH("ALNY US Equity","BS_ACCRUAL","FQ4 2021","FQ4 2021","Currency=USD","Period=FQ","BEST_FPERIOD_OVERRIDE=FQ","FILING_STATUS=MR","SCALING_FORMAT=MLN","Sort=A","Dates=H","DateFormat=P","Fill=—","Direction=H","UseDPDF=Y")</f>
        <v>395.17399999999998</v>
      </c>
      <c r="O42" s="13">
        <f>_xll.BDH("ALNY US Equity","BS_ACCRUAL","FQ1 2022","FQ1 2022","Currency=USD","Period=FQ","BEST_FPERIOD_OVERRIDE=FQ","FILING_STATUS=MR","SCALING_FORMAT=MLN","Sort=A","Dates=H","DateFormat=P","Fill=—","Direction=H","UseDPDF=Y")</f>
        <v>355.93599999999998</v>
      </c>
      <c r="P42" s="13">
        <f>_xll.BDH("ALNY US Equity","BS_ACCRUAL","FQ2 2022","FQ2 2022","Currency=USD","Period=FQ","BEST_FPERIOD_OVERRIDE=FQ","FILING_STATUS=MR","SCALING_FORMAT=MLN","Sort=A","Dates=H","DateFormat=P","Fill=—","Direction=H","UseDPDF=Y")</f>
        <v>421.24299999999999</v>
      </c>
      <c r="Q42" s="13">
        <f>_xll.BDH("ALNY US Equity","BS_ACCRUAL","FQ3 2022","FQ3 2022","Currency=USD","Period=FQ","BEST_FPERIOD_OVERRIDE=FQ","FILING_STATUS=MR","SCALING_FORMAT=MLN","Sort=A","Dates=H","DateFormat=P","Fill=—","Direction=H","UseDPDF=Y")</f>
        <v>510.57900000000001</v>
      </c>
      <c r="R42" s="13">
        <f>_xll.BDH("ALNY US Equity","BS_ACCRUAL","FQ4 2022","FQ4 2022","Currency=USD","Period=FQ","BEST_FPERIOD_OVERRIDE=FQ","FILING_STATUS=MR","SCALING_FORMAT=MLN","Sort=A","Dates=H","DateFormat=P","Fill=—","Direction=H","UseDPDF=Y")</f>
        <v>545.46</v>
      </c>
      <c r="S42" s="13">
        <f>_xll.BDH("ALNY US Equity","BS_ACCRUAL","FQ1 2023","FQ1 2023","Currency=USD","Period=FQ","BEST_FPERIOD_OVERRIDE=FQ","FILING_STATUS=MR","SCALING_FORMAT=MLN","Sort=A","Dates=H","DateFormat=P","Fill=—","Direction=H","UseDPDF=Y")</f>
        <v>508.59899999999999</v>
      </c>
      <c r="T42" s="13">
        <f>_xll.BDH("ALNY US Equity","BS_ACCRUAL","FQ2 2023","FQ2 2023","Currency=USD","Period=FQ","BEST_FPERIOD_OVERRIDE=FQ","FILING_STATUS=MR","SCALING_FORMAT=MLN","Sort=A","Dates=H","DateFormat=P","Fill=—","Direction=H","UseDPDF=Y")</f>
        <v>598.53</v>
      </c>
      <c r="U42" s="13">
        <f>_xll.BDH("ALNY US Equity","BS_ACCRUAL","FQ3 2023","FQ3 2023","Currency=USD","Period=FQ","BEST_FPERIOD_OVERRIDE=FQ","FILING_STATUS=MR","SCALING_FORMAT=MLN","Sort=A","Dates=H","DateFormat=P","Fill=—","Direction=H","UseDPDF=Y")</f>
        <v>713.09400000000005</v>
      </c>
      <c r="V42" s="13">
        <f>_xll.BDH("ALNY US Equity","BS_ACCRUAL","FQ4 2023","FQ4 2023","Currency=USD","Period=FQ","BEST_FPERIOD_OVERRIDE=FQ","FILING_STATUS=MR","SCALING_FORMAT=MLN","Sort=A","Dates=H","DateFormat=P","Fill=—","Direction=H","UseDPDF=Y")</f>
        <v>713.01300000000003</v>
      </c>
      <c r="W42" s="13">
        <f>_xll.BDH("ALNY US Equity","BS_ACCRUAL","FQ1 2024","FQ1 2024","Currency=USD","Period=FQ","BEST_FPERIOD_OVERRIDE=FQ","FILING_STATUS=MR","SCALING_FORMAT=MLN","Sort=A","Dates=H","DateFormat=P","Fill=—","Direction=H","UseDPDF=Y")</f>
        <v>698.86500000000001</v>
      </c>
      <c r="X42" s="13">
        <f>_xll.BDH("ALNY US Equity","BS_ACCRUAL","FQ2 2024","FQ2 2024","Currency=USD","Period=FQ","BEST_FPERIOD_OVERRIDE=FQ","FILING_STATUS=MR","SCALING_FORMAT=MLN","Sort=A","Dates=H","DateFormat=P","Fill=—","Direction=H","UseDPDF=Y")</f>
        <v>808.64300000000003</v>
      </c>
      <c r="Y42" s="13">
        <f>_xll.BDH("ALNY US Equity","BS_ACCRUAL","FQ3 2024","FQ3 2024","Currency=USD","Period=FQ","BEST_FPERIOD_OVERRIDE=FQ","FILING_STATUS=MR","SCALING_FORMAT=MLN","Sort=A","Dates=H","DateFormat=P","Fill=—","Direction=H","UseDPDF=Y")</f>
        <v>946.16800000000001</v>
      </c>
      <c r="Z42" s="13">
        <f>_xll.BDH("ALNY US Equity","BS_ACCRUAL","FQ4 2024","FQ4 2024","Currency=USD","Period=FQ","BEST_FPERIOD_OVERRIDE=FQ","FILING_STATUS=MR","SCALING_FORMAT=MLN","Sort=A","Dates=H","DateFormat=P","Fill=—","Direction=H","UseDPDF=Y")</f>
        <v>887.47199999999998</v>
      </c>
    </row>
    <row r="43" spans="1:26" x14ac:dyDescent="0.25">
      <c r="A43" s="10" t="s">
        <v>242</v>
      </c>
      <c r="B43" s="10" t="s">
        <v>243</v>
      </c>
      <c r="C43" s="13">
        <f>_xll.BDH("ALNY US Equity","BS_ST_BORROW","FQ1 2019","FQ1 2019","Currency=USD","Period=FQ","BEST_FPERIOD_OVERRIDE=FQ","FILING_STATUS=MR","SCALING_FORMAT=MLN","Sort=A","Dates=H","DateFormat=P","Fill=—","Direction=H","UseDPDF=Y")</f>
        <v>16.977</v>
      </c>
      <c r="D43" s="13">
        <f>_xll.BDH("ALNY US Equity","BS_ST_BORROW","FQ2 2019","FQ2 2019","Currency=USD","Period=FQ","BEST_FPERIOD_OVERRIDE=FQ","FILING_STATUS=MR","SCALING_FORMAT=MLN","Sort=A","Dates=H","DateFormat=P","Fill=—","Direction=H","UseDPDF=Y")</f>
        <v>29.347000000000001</v>
      </c>
      <c r="E43" s="13">
        <f>_xll.BDH("ALNY US Equity","BS_ST_BORROW","FQ3 2019","FQ3 2019","Currency=USD","Period=FQ","BEST_FPERIOD_OVERRIDE=FQ","FILING_STATUS=MR","SCALING_FORMAT=MLN","Sort=A","Dates=H","DateFormat=P","Fill=—","Direction=H","UseDPDF=Y")</f>
        <v>28.164999999999999</v>
      </c>
      <c r="F43" s="13">
        <f>_xll.BDH("ALNY US Equity","BS_ST_BORROW","FQ4 2019","FQ4 2019","Currency=USD","Period=FQ","BEST_FPERIOD_OVERRIDE=FQ","FILING_STATUS=MR","SCALING_FORMAT=MLN","Sort=A","Dates=H","DateFormat=P","Fill=—","Direction=H","UseDPDF=Y")</f>
        <v>27.687999999999999</v>
      </c>
      <c r="G43" s="13">
        <f>_xll.BDH("ALNY US Equity","BS_ST_BORROW","FQ1 2020","FQ1 2020","Currency=USD","Period=FQ","BEST_FPERIOD_OVERRIDE=FQ","FILING_STATUS=MR","SCALING_FORMAT=MLN","Sort=A","Dates=H","DateFormat=P","Fill=—","Direction=H","UseDPDF=Y")</f>
        <v>29.042999999999999</v>
      </c>
      <c r="H43" s="13">
        <f>_xll.BDH("ALNY US Equity","BS_ST_BORROW","FQ2 2020","FQ2 2020","Currency=USD","Period=FQ","BEST_FPERIOD_OVERRIDE=FQ","FILING_STATUS=MR","SCALING_FORMAT=MLN","Sort=A","Dates=H","DateFormat=P","Fill=—","Direction=H","UseDPDF=Y")</f>
        <v>33.447000000000003</v>
      </c>
      <c r="I43" s="13">
        <f>_xll.BDH("ALNY US Equity","BS_ST_BORROW","FQ3 2020","FQ3 2020","Currency=USD","Period=FQ","BEST_FPERIOD_OVERRIDE=FQ","FILING_STATUS=MR","SCALING_FORMAT=MLN","Sort=A","Dates=H","DateFormat=P","Fill=—","Direction=H","UseDPDF=Y")</f>
        <v>32.192</v>
      </c>
      <c r="J43" s="13">
        <f>_xll.BDH("ALNY US Equity","BS_ST_BORROW","FQ4 2020","FQ4 2020","Currency=USD","Period=FQ","BEST_FPERIOD_OVERRIDE=FQ","FILING_STATUS=MR","SCALING_FORMAT=MLN","Sort=A","Dates=H","DateFormat=P","Fill=—","Direction=H","UseDPDF=Y")</f>
        <v>36.872</v>
      </c>
      <c r="K43" s="13">
        <f>_xll.BDH("ALNY US Equity","BS_ST_BORROW","FQ1 2021","FQ1 2021","Currency=USD","Period=FQ","BEST_FPERIOD_OVERRIDE=FQ","FILING_STATUS=MR","SCALING_FORMAT=MLN","Sort=A","Dates=H","DateFormat=P","Fill=—","Direction=H","UseDPDF=Y")</f>
        <v>38.917000000000002</v>
      </c>
      <c r="L43" s="13">
        <f>_xll.BDH("ALNY US Equity","BS_ST_BORROW","FQ2 2021","FQ2 2021","Currency=USD","Period=FQ","BEST_FPERIOD_OVERRIDE=FQ","FILING_STATUS=MR","SCALING_FORMAT=MLN","Sort=A","Dates=H","DateFormat=P","Fill=—","Direction=H","UseDPDF=Y")</f>
        <v>39.362000000000002</v>
      </c>
      <c r="M43" s="13">
        <f>_xll.BDH("ALNY US Equity","BS_ST_BORROW","FQ3 2021","FQ3 2021","Currency=USD","Period=FQ","BEST_FPERIOD_OVERRIDE=FQ","FILING_STATUS=MR","SCALING_FORMAT=MLN","Sort=A","Dates=H","DateFormat=P","Fill=—","Direction=H","UseDPDF=Y")</f>
        <v>40.612000000000002</v>
      </c>
      <c r="N43" s="13">
        <f>_xll.BDH("ALNY US Equity","BS_ST_BORROW","FQ4 2021","FQ4 2021","Currency=USD","Period=FQ","BEST_FPERIOD_OVERRIDE=FQ","FILING_STATUS=MR","SCALING_FORMAT=MLN","Sort=A","Dates=H","DateFormat=P","Fill=—","Direction=H","UseDPDF=Y")</f>
        <v>40.548000000000002</v>
      </c>
      <c r="O43" s="13">
        <f>_xll.BDH("ALNY US Equity","BS_ST_BORROW","FQ1 2022","FQ1 2022","Currency=USD","Period=FQ","BEST_FPERIOD_OVERRIDE=FQ","FILING_STATUS=MR","SCALING_FORMAT=MLN","Sort=A","Dates=H","DateFormat=P","Fill=—","Direction=H","UseDPDF=Y")</f>
        <v>41.29</v>
      </c>
      <c r="P43" s="13">
        <f>_xll.BDH("ALNY US Equity","BS_ST_BORROW","FQ2 2022","FQ2 2022","Currency=USD","Period=FQ","BEST_FPERIOD_OVERRIDE=FQ","FILING_STATUS=MR","SCALING_FORMAT=MLN","Sort=A","Dates=H","DateFormat=P","Fill=—","Direction=H","UseDPDF=Y")</f>
        <v>41.235999999999997</v>
      </c>
      <c r="Q43" s="13">
        <f>_xll.BDH("ALNY US Equity","BS_ST_BORROW","FQ3 2022","FQ3 2022","Currency=USD","Period=FQ","BEST_FPERIOD_OVERRIDE=FQ","FILING_STATUS=MR","SCALING_FORMAT=MLN","Sort=A","Dates=H","DateFormat=P","Fill=—","Direction=H","UseDPDF=Y")</f>
        <v>41.581000000000003</v>
      </c>
      <c r="R43" s="13">
        <f>_xll.BDH("ALNY US Equity","BS_ST_BORROW","FQ4 2022","FQ4 2022","Currency=USD","Period=FQ","BEST_FPERIOD_OVERRIDE=FQ","FILING_STATUS=MR","SCALING_FORMAT=MLN","Sort=A","Dates=H","DateFormat=P","Fill=—","Direction=H","UseDPDF=Y")</f>
        <v>41.966999999999999</v>
      </c>
      <c r="S43" s="13">
        <f>_xll.BDH("ALNY US Equity","BS_ST_BORROW","FQ1 2023","FQ1 2023","Currency=USD","Period=FQ","BEST_FPERIOD_OVERRIDE=FQ","FILING_STATUS=MR","SCALING_FORMAT=MLN","Sort=A","Dates=H","DateFormat=P","Fill=—","Direction=H","UseDPDF=Y")</f>
        <v>43.055</v>
      </c>
      <c r="T43" s="13">
        <f>_xll.BDH("ALNY US Equity","BS_ST_BORROW","FQ2 2023","FQ2 2023","Currency=USD","Period=FQ","BEST_FPERIOD_OVERRIDE=FQ","FILING_STATUS=MR","SCALING_FORMAT=MLN","Sort=A","Dates=H","DateFormat=P","Fill=—","Direction=H","UseDPDF=Y")</f>
        <v>42.073999999999998</v>
      </c>
      <c r="U43" s="13">
        <f>_xll.BDH("ALNY US Equity","BS_ST_BORROW","FQ3 2023","FQ3 2023","Currency=USD","Period=FQ","BEST_FPERIOD_OVERRIDE=FQ","FILING_STATUS=MR","SCALING_FORMAT=MLN","Sort=A","Dates=H","DateFormat=P","Fill=—","Direction=H","UseDPDF=Y")</f>
        <v>41.515999999999998</v>
      </c>
      <c r="V43" s="13">
        <f>_xll.BDH("ALNY US Equity","BS_ST_BORROW","FQ4 2023","FQ4 2023","Currency=USD","Period=FQ","BEST_FPERIOD_OVERRIDE=FQ","FILING_STATUS=MR","SCALING_FORMAT=MLN","Sort=A","Dates=H","DateFormat=P","Fill=—","Direction=H","UseDPDF=Y")</f>
        <v>41.51</v>
      </c>
      <c r="W43" s="13">
        <f>_xll.BDH("ALNY US Equity","BS_ST_BORROW","FQ1 2024","FQ1 2024","Currency=USD","Period=FQ","BEST_FPERIOD_OVERRIDE=FQ","FILING_STATUS=MR","SCALING_FORMAT=MLN","Sort=A","Dates=H","DateFormat=P","Fill=—","Direction=H","UseDPDF=Y")</f>
        <v>41.671999999999997</v>
      </c>
      <c r="X43" s="13">
        <f>_xll.BDH("ALNY US Equity","BS_ST_BORROW","FQ2 2024","FQ2 2024","Currency=USD","Period=FQ","BEST_FPERIOD_OVERRIDE=FQ","FILING_STATUS=MR","SCALING_FORMAT=MLN","Sort=A","Dates=H","DateFormat=P","Fill=—","Direction=H","UseDPDF=Y")</f>
        <v>41.655999999999999</v>
      </c>
      <c r="Y43" s="13">
        <f>_xll.BDH("ALNY US Equity","BS_ST_BORROW","FQ3 2024","FQ3 2024","Currency=USD","Period=FQ","BEST_FPERIOD_OVERRIDE=FQ","FILING_STATUS=MR","SCALING_FORMAT=MLN","Sort=A","Dates=H","DateFormat=P","Fill=—","Direction=H","UseDPDF=Y")</f>
        <v>42.143999999999998</v>
      </c>
      <c r="Z43" s="13">
        <f>_xll.BDH("ALNY US Equity","BS_ST_BORROW","FQ4 2024","FQ4 2024","Currency=USD","Period=FQ","BEST_FPERIOD_OVERRIDE=FQ","FILING_STATUS=MR","SCALING_FORMAT=MLN","Sort=A","Dates=H","DateFormat=P","Fill=—","Direction=H","UseDPDF=Y")</f>
        <v>41.886000000000003</v>
      </c>
    </row>
    <row r="44" spans="1:26" x14ac:dyDescent="0.25">
      <c r="A44" s="10" t="s">
        <v>244</v>
      </c>
      <c r="B44" s="10" t="s">
        <v>245</v>
      </c>
      <c r="C44" s="13">
        <f>_xll.BDH("ALNY US Equity","SHORT_TERM_DEBT_DETAILED","FQ1 2019","FQ1 2019","Currency=USD","Period=FQ","BEST_FPERIOD_OVERRIDE=FQ","FILING_STATUS=MR","SCALING_FORMAT=MLN","Sort=A","Dates=H","DateFormat=P","Fill=—","Direction=H","UseDPDF=Y")</f>
        <v>0</v>
      </c>
      <c r="D44" s="13">
        <f>_xll.BDH("ALNY US Equity","SHORT_TERM_DEBT_DETAILED","FQ2 2019","FQ2 2019","Currency=USD","Period=FQ","BEST_FPERIOD_OVERRIDE=FQ","FILING_STATUS=MR","SCALING_FORMAT=MLN","Sort=A","Dates=H","DateFormat=P","Fill=—","Direction=H","UseDPDF=Y")</f>
        <v>0</v>
      </c>
      <c r="E44" s="13">
        <f>_xll.BDH("ALNY US Equity","SHORT_TERM_DEBT_DETAILED","FQ3 2019","FQ3 2019","Currency=USD","Period=FQ","BEST_FPERIOD_OVERRIDE=FQ","FILING_STATUS=MR","SCALING_FORMAT=MLN","Sort=A","Dates=H","DateFormat=P","Fill=—","Direction=H","UseDPDF=Y")</f>
        <v>0</v>
      </c>
      <c r="F44" s="13">
        <f>_xll.BDH("ALNY US Equity","SHORT_TERM_DEBT_DETAILED","FQ4 2019","FQ4 2019","Currency=USD","Period=FQ","BEST_FPERIOD_OVERRIDE=FQ","FILING_STATUS=MR","SCALING_FORMAT=MLN","Sort=A","Dates=H","DateFormat=P","Fill=—","Direction=H","UseDPDF=Y")</f>
        <v>0</v>
      </c>
      <c r="G44" s="13">
        <f>_xll.BDH("ALNY US Equity","SHORT_TERM_DEBT_DETAILED","FQ1 2020","FQ1 2020","Currency=USD","Period=FQ","BEST_FPERIOD_OVERRIDE=FQ","FILING_STATUS=MR","SCALING_FORMAT=MLN","Sort=A","Dates=H","DateFormat=P","Fill=—","Direction=H","UseDPDF=Y")</f>
        <v>0</v>
      </c>
      <c r="H44" s="13">
        <f>_xll.BDH("ALNY US Equity","SHORT_TERM_DEBT_DETAILED","FQ2 2020","FQ2 2020","Currency=USD","Period=FQ","BEST_FPERIOD_OVERRIDE=FQ","FILING_STATUS=MR","SCALING_FORMAT=MLN","Sort=A","Dates=H","DateFormat=P","Fill=—","Direction=H","UseDPDF=Y")</f>
        <v>0</v>
      </c>
      <c r="I44" s="13">
        <f>_xll.BDH("ALNY US Equity","SHORT_TERM_DEBT_DETAILED","FQ3 2020","FQ3 2020","Currency=USD","Period=FQ","BEST_FPERIOD_OVERRIDE=FQ","FILING_STATUS=MR","SCALING_FORMAT=MLN","Sort=A","Dates=H","DateFormat=P","Fill=—","Direction=H","UseDPDF=Y")</f>
        <v>0</v>
      </c>
      <c r="J44" s="13">
        <f>_xll.BDH("ALNY US Equity","SHORT_TERM_DEBT_DETAILED","FQ4 2020","FQ4 2020","Currency=USD","Period=FQ","BEST_FPERIOD_OVERRIDE=FQ","FILING_STATUS=MR","SCALING_FORMAT=MLN","Sort=A","Dates=H","DateFormat=P","Fill=—","Direction=H","UseDPDF=Y")</f>
        <v>0</v>
      </c>
      <c r="K44" s="13">
        <f>_xll.BDH("ALNY US Equity","SHORT_TERM_DEBT_DETAILED","FQ1 2021","FQ1 2021","Currency=USD","Period=FQ","BEST_FPERIOD_OVERRIDE=FQ","FILING_STATUS=MR","SCALING_FORMAT=MLN","Sort=A","Dates=H","DateFormat=P","Fill=—","Direction=H","UseDPDF=Y")</f>
        <v>0</v>
      </c>
      <c r="L44" s="13">
        <f>_xll.BDH("ALNY US Equity","SHORT_TERM_DEBT_DETAILED","FQ2 2021","FQ2 2021","Currency=USD","Period=FQ","BEST_FPERIOD_OVERRIDE=FQ","FILING_STATUS=MR","SCALING_FORMAT=MLN","Sort=A","Dates=H","DateFormat=P","Fill=—","Direction=H","UseDPDF=Y")</f>
        <v>0</v>
      </c>
      <c r="M44" s="13">
        <f>_xll.BDH("ALNY US Equity","SHORT_TERM_DEBT_DETAILED","FQ3 2021","FQ3 2021","Currency=USD","Period=FQ","BEST_FPERIOD_OVERRIDE=FQ","FILING_STATUS=MR","SCALING_FORMAT=MLN","Sort=A","Dates=H","DateFormat=P","Fill=—","Direction=H","UseDPDF=Y")</f>
        <v>0</v>
      </c>
      <c r="N44" s="13">
        <f>_xll.BDH("ALNY US Equity","SHORT_TERM_DEBT_DETAILED","FQ4 2021","FQ4 2021","Currency=USD","Period=FQ","BEST_FPERIOD_OVERRIDE=FQ","FILING_STATUS=MR","SCALING_FORMAT=MLN","Sort=A","Dates=H","DateFormat=P","Fill=—","Direction=H","UseDPDF=Y")</f>
        <v>0</v>
      </c>
      <c r="O44" s="13">
        <f>_xll.BDH("ALNY US Equity","SHORT_TERM_DEBT_DETAILED","FQ1 2022","FQ1 2022","Currency=USD","Period=FQ","BEST_FPERIOD_OVERRIDE=FQ","FILING_STATUS=MR","SCALING_FORMAT=MLN","Sort=A","Dates=H","DateFormat=P","Fill=—","Direction=H","UseDPDF=Y")</f>
        <v>0</v>
      </c>
      <c r="P44" s="13">
        <f>_xll.BDH("ALNY US Equity","SHORT_TERM_DEBT_DETAILED","FQ2 2022","FQ2 2022","Currency=USD","Period=FQ","BEST_FPERIOD_OVERRIDE=FQ","FILING_STATUS=MR","SCALING_FORMAT=MLN","Sort=A","Dates=H","DateFormat=P","Fill=—","Direction=H","UseDPDF=Y")</f>
        <v>0</v>
      </c>
      <c r="Q44" s="13">
        <f>_xll.BDH("ALNY US Equity","SHORT_TERM_DEBT_DETAILED","FQ3 2022","FQ3 2022","Currency=USD","Period=FQ","BEST_FPERIOD_OVERRIDE=FQ","FILING_STATUS=MR","SCALING_FORMAT=MLN","Sort=A","Dates=H","DateFormat=P","Fill=—","Direction=H","UseDPDF=Y")</f>
        <v>0</v>
      </c>
      <c r="R44" s="13">
        <f>_xll.BDH("ALNY US Equity","SHORT_TERM_DEBT_DETAILED","FQ4 2022","FQ4 2022","Currency=USD","Period=FQ","BEST_FPERIOD_OVERRIDE=FQ","FILING_STATUS=MR","SCALING_FORMAT=MLN","Sort=A","Dates=H","DateFormat=P","Fill=—","Direction=H","UseDPDF=Y")</f>
        <v>0</v>
      </c>
      <c r="S44" s="13">
        <f>_xll.BDH("ALNY US Equity","SHORT_TERM_DEBT_DETAILED","FQ1 2023","FQ1 2023","Currency=USD","Period=FQ","BEST_FPERIOD_OVERRIDE=FQ","FILING_STATUS=MR","SCALING_FORMAT=MLN","Sort=A","Dates=H","DateFormat=P","Fill=—","Direction=H","UseDPDF=Y")</f>
        <v>0</v>
      </c>
      <c r="T44" s="13">
        <f>_xll.BDH("ALNY US Equity","SHORT_TERM_DEBT_DETAILED","FQ2 2023","FQ2 2023","Currency=USD","Period=FQ","BEST_FPERIOD_OVERRIDE=FQ","FILING_STATUS=MR","SCALING_FORMAT=MLN","Sort=A","Dates=H","DateFormat=P","Fill=—","Direction=H","UseDPDF=Y")</f>
        <v>0</v>
      </c>
      <c r="U44" s="13">
        <f>_xll.BDH("ALNY US Equity","SHORT_TERM_DEBT_DETAILED","FQ3 2023","FQ3 2023","Currency=USD","Period=FQ","BEST_FPERIOD_OVERRIDE=FQ","FILING_STATUS=MR","SCALING_FORMAT=MLN","Sort=A","Dates=H","DateFormat=P","Fill=—","Direction=H","UseDPDF=Y")</f>
        <v>0</v>
      </c>
      <c r="V44" s="13">
        <f>_xll.BDH("ALNY US Equity","SHORT_TERM_DEBT_DETAILED","FQ4 2023","FQ4 2023","Currency=USD","Period=FQ","BEST_FPERIOD_OVERRIDE=FQ","FILING_STATUS=MR","SCALING_FORMAT=MLN","Sort=A","Dates=H","DateFormat=P","Fill=—","Direction=H","UseDPDF=Y")</f>
        <v>0</v>
      </c>
      <c r="W44" s="13">
        <f>_xll.BDH("ALNY US Equity","SHORT_TERM_DEBT_DETAILED","FQ1 2024","FQ1 2024","Currency=USD","Period=FQ","BEST_FPERIOD_OVERRIDE=FQ","FILING_STATUS=MR","SCALING_FORMAT=MLN","Sort=A","Dates=H","DateFormat=P","Fill=—","Direction=H","UseDPDF=Y")</f>
        <v>0</v>
      </c>
      <c r="X44" s="13">
        <f>_xll.BDH("ALNY US Equity","SHORT_TERM_DEBT_DETAILED","FQ2 2024","FQ2 2024","Currency=USD","Period=FQ","BEST_FPERIOD_OVERRIDE=FQ","FILING_STATUS=MR","SCALING_FORMAT=MLN","Sort=A","Dates=H","DateFormat=P","Fill=—","Direction=H","UseDPDF=Y")</f>
        <v>0</v>
      </c>
      <c r="Y44" s="13">
        <f>_xll.BDH("ALNY US Equity","SHORT_TERM_DEBT_DETAILED","FQ3 2024","FQ3 2024","Currency=USD","Period=FQ","BEST_FPERIOD_OVERRIDE=FQ","FILING_STATUS=MR","SCALING_FORMAT=MLN","Sort=A","Dates=H","DateFormat=P","Fill=—","Direction=H","UseDPDF=Y")</f>
        <v>0</v>
      </c>
      <c r="Z44" s="13">
        <f>_xll.BDH("ALNY US Equity","SHORT_TERM_DEBT_DETAILED","FQ4 2024","FQ4 2024","Currency=USD","Period=FQ","BEST_FPERIOD_OVERRIDE=FQ","FILING_STATUS=MR","SCALING_FORMAT=MLN","Sort=A","Dates=H","DateFormat=P","Fill=—","Direction=H","UseDPDF=Y")</f>
        <v>0</v>
      </c>
    </row>
    <row r="45" spans="1:26" x14ac:dyDescent="0.25">
      <c r="A45" s="10" t="s">
        <v>246</v>
      </c>
      <c r="B45" s="10" t="s">
        <v>247</v>
      </c>
      <c r="C45" s="13">
        <f>_xll.BDH("ALNY US Equity","ST_CAPITALIZED_LEASE_LIABILITIES","FQ1 2019","FQ1 2019","Currency=USD","Period=FQ","BEST_FPERIOD_OVERRIDE=FQ","FILING_STATUS=MR","SCALING_FORMAT=MLN","Sort=A","Dates=H","DateFormat=P","Fill=—","Direction=H","UseDPDF=Y")</f>
        <v>16.977</v>
      </c>
      <c r="D45" s="13">
        <f>_xll.BDH("ALNY US Equity","ST_CAPITALIZED_LEASE_LIABILITIES","FQ2 2019","FQ2 2019","Currency=USD","Period=FQ","BEST_FPERIOD_OVERRIDE=FQ","FILING_STATUS=MR","SCALING_FORMAT=MLN","Sort=A","Dates=H","DateFormat=P","Fill=—","Direction=H","UseDPDF=Y")</f>
        <v>29.347000000000001</v>
      </c>
      <c r="E45" s="13">
        <f>_xll.BDH("ALNY US Equity","ST_CAPITALIZED_LEASE_LIABILITIES","FQ3 2019","FQ3 2019","Currency=USD","Period=FQ","BEST_FPERIOD_OVERRIDE=FQ","FILING_STATUS=MR","SCALING_FORMAT=MLN","Sort=A","Dates=H","DateFormat=P","Fill=—","Direction=H","UseDPDF=Y")</f>
        <v>28.164999999999999</v>
      </c>
      <c r="F45" s="13">
        <f>_xll.BDH("ALNY US Equity","ST_CAPITALIZED_LEASE_LIABILITIES","FQ4 2019","FQ4 2019","Currency=USD","Period=FQ","BEST_FPERIOD_OVERRIDE=FQ","FILING_STATUS=MR","SCALING_FORMAT=MLN","Sort=A","Dates=H","DateFormat=P","Fill=—","Direction=H","UseDPDF=Y")</f>
        <v>27.687999999999999</v>
      </c>
      <c r="G45" s="13">
        <f>_xll.BDH("ALNY US Equity","ST_CAPITALIZED_LEASE_LIABILITIES","FQ1 2020","FQ1 2020","Currency=USD","Period=FQ","BEST_FPERIOD_OVERRIDE=FQ","FILING_STATUS=MR","SCALING_FORMAT=MLN","Sort=A","Dates=H","DateFormat=P","Fill=—","Direction=H","UseDPDF=Y")</f>
        <v>29.042999999999999</v>
      </c>
      <c r="H45" s="13">
        <f>_xll.BDH("ALNY US Equity","ST_CAPITALIZED_LEASE_LIABILITIES","FQ2 2020","FQ2 2020","Currency=USD","Period=FQ","BEST_FPERIOD_OVERRIDE=FQ","FILING_STATUS=MR","SCALING_FORMAT=MLN","Sort=A","Dates=H","DateFormat=P","Fill=—","Direction=H","UseDPDF=Y")</f>
        <v>33.447000000000003</v>
      </c>
      <c r="I45" s="13">
        <f>_xll.BDH("ALNY US Equity","ST_CAPITALIZED_LEASE_LIABILITIES","FQ3 2020","FQ3 2020","Currency=USD","Period=FQ","BEST_FPERIOD_OVERRIDE=FQ","FILING_STATUS=MR","SCALING_FORMAT=MLN","Sort=A","Dates=H","DateFormat=P","Fill=—","Direction=H","UseDPDF=Y")</f>
        <v>32.192</v>
      </c>
      <c r="J45" s="13">
        <f>_xll.BDH("ALNY US Equity","ST_CAPITALIZED_LEASE_LIABILITIES","FQ4 2020","FQ4 2020","Currency=USD","Period=FQ","BEST_FPERIOD_OVERRIDE=FQ","FILING_STATUS=MR","SCALING_FORMAT=MLN","Sort=A","Dates=H","DateFormat=P","Fill=—","Direction=H","UseDPDF=Y")</f>
        <v>36.872</v>
      </c>
      <c r="K45" s="13">
        <f>_xll.BDH("ALNY US Equity","ST_CAPITALIZED_LEASE_LIABILITIES","FQ1 2021","FQ1 2021","Currency=USD","Period=FQ","BEST_FPERIOD_OVERRIDE=FQ","FILING_STATUS=MR","SCALING_FORMAT=MLN","Sort=A","Dates=H","DateFormat=P","Fill=—","Direction=H","UseDPDF=Y")</f>
        <v>38.917000000000002</v>
      </c>
      <c r="L45" s="13">
        <f>_xll.BDH("ALNY US Equity","ST_CAPITALIZED_LEASE_LIABILITIES","FQ2 2021","FQ2 2021","Currency=USD","Period=FQ","BEST_FPERIOD_OVERRIDE=FQ","FILING_STATUS=MR","SCALING_FORMAT=MLN","Sort=A","Dates=H","DateFormat=P","Fill=—","Direction=H","UseDPDF=Y")</f>
        <v>39.362000000000002</v>
      </c>
      <c r="M45" s="13">
        <f>_xll.BDH("ALNY US Equity","ST_CAPITALIZED_LEASE_LIABILITIES","FQ3 2021","FQ3 2021","Currency=USD","Period=FQ","BEST_FPERIOD_OVERRIDE=FQ","FILING_STATUS=MR","SCALING_FORMAT=MLN","Sort=A","Dates=H","DateFormat=P","Fill=—","Direction=H","UseDPDF=Y")</f>
        <v>40.612000000000002</v>
      </c>
      <c r="N45" s="13">
        <f>_xll.BDH("ALNY US Equity","ST_CAPITALIZED_LEASE_LIABILITIES","FQ4 2021","FQ4 2021","Currency=USD","Period=FQ","BEST_FPERIOD_OVERRIDE=FQ","FILING_STATUS=MR","SCALING_FORMAT=MLN","Sort=A","Dates=H","DateFormat=P","Fill=—","Direction=H","UseDPDF=Y")</f>
        <v>40.548000000000002</v>
      </c>
      <c r="O45" s="13">
        <f>_xll.BDH("ALNY US Equity","ST_CAPITALIZED_LEASE_LIABILITIES","FQ1 2022","FQ1 2022","Currency=USD","Period=FQ","BEST_FPERIOD_OVERRIDE=FQ","FILING_STATUS=MR","SCALING_FORMAT=MLN","Sort=A","Dates=H","DateFormat=P","Fill=—","Direction=H","UseDPDF=Y")</f>
        <v>41.29</v>
      </c>
      <c r="P45" s="13">
        <f>_xll.BDH("ALNY US Equity","ST_CAPITALIZED_LEASE_LIABILITIES","FQ2 2022","FQ2 2022","Currency=USD","Period=FQ","BEST_FPERIOD_OVERRIDE=FQ","FILING_STATUS=MR","SCALING_FORMAT=MLN","Sort=A","Dates=H","DateFormat=P","Fill=—","Direction=H","UseDPDF=Y")</f>
        <v>41.235999999999997</v>
      </c>
      <c r="Q45" s="13">
        <f>_xll.BDH("ALNY US Equity","ST_CAPITALIZED_LEASE_LIABILITIES","FQ3 2022","FQ3 2022","Currency=USD","Period=FQ","BEST_FPERIOD_OVERRIDE=FQ","FILING_STATUS=MR","SCALING_FORMAT=MLN","Sort=A","Dates=H","DateFormat=P","Fill=—","Direction=H","UseDPDF=Y")</f>
        <v>41.581000000000003</v>
      </c>
      <c r="R45" s="13">
        <f>_xll.BDH("ALNY US Equity","ST_CAPITALIZED_LEASE_LIABILITIES","FQ4 2022","FQ4 2022","Currency=USD","Period=FQ","BEST_FPERIOD_OVERRIDE=FQ","FILING_STATUS=MR","SCALING_FORMAT=MLN","Sort=A","Dates=H","DateFormat=P","Fill=—","Direction=H","UseDPDF=Y")</f>
        <v>41.966999999999999</v>
      </c>
      <c r="S45" s="13">
        <f>_xll.BDH("ALNY US Equity","ST_CAPITALIZED_LEASE_LIABILITIES","FQ1 2023","FQ1 2023","Currency=USD","Period=FQ","BEST_FPERIOD_OVERRIDE=FQ","FILING_STATUS=MR","SCALING_FORMAT=MLN","Sort=A","Dates=H","DateFormat=P","Fill=—","Direction=H","UseDPDF=Y")</f>
        <v>43.055</v>
      </c>
      <c r="T45" s="13">
        <f>_xll.BDH("ALNY US Equity","ST_CAPITALIZED_LEASE_LIABILITIES","FQ2 2023","FQ2 2023","Currency=USD","Period=FQ","BEST_FPERIOD_OVERRIDE=FQ","FILING_STATUS=MR","SCALING_FORMAT=MLN","Sort=A","Dates=H","DateFormat=P","Fill=—","Direction=H","UseDPDF=Y")</f>
        <v>42.073999999999998</v>
      </c>
      <c r="U45" s="13">
        <f>_xll.BDH("ALNY US Equity","ST_CAPITALIZED_LEASE_LIABILITIES","FQ3 2023","FQ3 2023","Currency=USD","Period=FQ","BEST_FPERIOD_OVERRIDE=FQ","FILING_STATUS=MR","SCALING_FORMAT=MLN","Sort=A","Dates=H","DateFormat=P","Fill=—","Direction=H","UseDPDF=Y")</f>
        <v>41.515999999999998</v>
      </c>
      <c r="V45" s="13">
        <f>_xll.BDH("ALNY US Equity","ST_CAPITALIZED_LEASE_LIABILITIES","FQ4 2023","FQ4 2023","Currency=USD","Period=FQ","BEST_FPERIOD_OVERRIDE=FQ","FILING_STATUS=MR","SCALING_FORMAT=MLN","Sort=A","Dates=H","DateFormat=P","Fill=—","Direction=H","UseDPDF=Y")</f>
        <v>41.51</v>
      </c>
      <c r="W45" s="13">
        <f>_xll.BDH("ALNY US Equity","ST_CAPITALIZED_LEASE_LIABILITIES","FQ1 2024","FQ1 2024","Currency=USD","Period=FQ","BEST_FPERIOD_OVERRIDE=FQ","FILING_STATUS=MR","SCALING_FORMAT=MLN","Sort=A","Dates=H","DateFormat=P","Fill=—","Direction=H","UseDPDF=Y")</f>
        <v>41.671999999999997</v>
      </c>
      <c r="X45" s="13">
        <f>_xll.BDH("ALNY US Equity","ST_CAPITALIZED_LEASE_LIABILITIES","FQ2 2024","FQ2 2024","Currency=USD","Period=FQ","BEST_FPERIOD_OVERRIDE=FQ","FILING_STATUS=MR","SCALING_FORMAT=MLN","Sort=A","Dates=H","DateFormat=P","Fill=—","Direction=H","UseDPDF=Y")</f>
        <v>41.655999999999999</v>
      </c>
      <c r="Y45" s="13">
        <f>_xll.BDH("ALNY US Equity","ST_CAPITALIZED_LEASE_LIABILITIES","FQ3 2024","FQ3 2024","Currency=USD","Period=FQ","BEST_FPERIOD_OVERRIDE=FQ","FILING_STATUS=MR","SCALING_FORMAT=MLN","Sort=A","Dates=H","DateFormat=P","Fill=—","Direction=H","UseDPDF=Y")</f>
        <v>42.143999999999998</v>
      </c>
      <c r="Z45" s="13">
        <f>_xll.BDH("ALNY US Equity","ST_CAPITALIZED_LEASE_LIABILITIES","FQ4 2024","FQ4 2024","Currency=USD","Period=FQ","BEST_FPERIOD_OVERRIDE=FQ","FILING_STATUS=MR","SCALING_FORMAT=MLN","Sort=A","Dates=H","DateFormat=P","Fill=—","Direction=H","UseDPDF=Y")</f>
        <v>41.886000000000003</v>
      </c>
    </row>
    <row r="46" spans="1:26" x14ac:dyDescent="0.25">
      <c r="A46" s="11" t="s">
        <v>248</v>
      </c>
      <c r="B46" s="11" t="s">
        <v>249</v>
      </c>
      <c r="C46" s="18" t="str">
        <f>_xll.BDH("ALNY US Equity","ST_CAPITAL_LEASE_OBLIGATIONS","FQ1 2019","FQ1 2019","Currency=USD","Period=FQ","BEST_FPERIOD_OVERRIDE=FQ","FILING_STATUS=MR","SCALING_FORMAT=MLN","Sort=A","Dates=H","DateFormat=P","Fill=—","Direction=H","UseDPDF=Y")</f>
        <v>—</v>
      </c>
      <c r="D46" s="18" t="str">
        <f>_xll.BDH("ALNY US Equity","ST_CAPITAL_LEASE_OBLIGATIONS","FQ2 2019","FQ2 2019","Currency=USD","Period=FQ","BEST_FPERIOD_OVERRIDE=FQ","FILING_STATUS=MR","SCALING_FORMAT=MLN","Sort=A","Dates=H","DateFormat=P","Fill=—","Direction=H","UseDPDF=Y")</f>
        <v>—</v>
      </c>
      <c r="E46" s="18" t="str">
        <f>_xll.BDH("ALNY US Equity","ST_CAPITAL_LEASE_OBLIGATIONS","FQ3 2019","FQ3 2019","Currency=USD","Period=FQ","BEST_FPERIOD_OVERRIDE=FQ","FILING_STATUS=MR","SCALING_FORMAT=MLN","Sort=A","Dates=H","DateFormat=P","Fill=—","Direction=H","UseDPDF=Y")</f>
        <v>—</v>
      </c>
      <c r="F46" s="18" t="str">
        <f>_xll.BDH("ALNY US Equity","ST_CAPITAL_LEASE_OBLIGATIONS","FQ4 2019","FQ4 2019","Currency=USD","Period=FQ","BEST_FPERIOD_OVERRIDE=FQ","FILING_STATUS=MR","SCALING_FORMAT=MLN","Sort=A","Dates=H","DateFormat=P","Fill=—","Direction=H","UseDPDF=Y")</f>
        <v>—</v>
      </c>
      <c r="G46" s="18" t="str">
        <f>_xll.BDH("ALNY US Equity","ST_CAPITAL_LEASE_OBLIGATIONS","FQ1 2020","FQ1 2020","Currency=USD","Period=FQ","BEST_FPERIOD_OVERRIDE=FQ","FILING_STATUS=MR","SCALING_FORMAT=MLN","Sort=A","Dates=H","DateFormat=P","Fill=—","Direction=H","UseDPDF=Y")</f>
        <v>—</v>
      </c>
      <c r="H46" s="18" t="str">
        <f>_xll.BDH("ALNY US Equity","ST_CAPITAL_LEASE_OBLIGATIONS","FQ2 2020","FQ2 2020","Currency=USD","Period=FQ","BEST_FPERIOD_OVERRIDE=FQ","FILING_STATUS=MR","SCALING_FORMAT=MLN","Sort=A","Dates=H","DateFormat=P","Fill=—","Direction=H","UseDPDF=Y")</f>
        <v>—</v>
      </c>
      <c r="I46" s="18" t="str">
        <f>_xll.BDH("ALNY US Equity","ST_CAPITAL_LEASE_OBLIGATIONS","FQ3 2020","FQ3 2020","Currency=USD","Period=FQ","BEST_FPERIOD_OVERRIDE=FQ","FILING_STATUS=MR","SCALING_FORMAT=MLN","Sort=A","Dates=H","DateFormat=P","Fill=—","Direction=H","UseDPDF=Y")</f>
        <v>—</v>
      </c>
      <c r="J46" s="18" t="str">
        <f>_xll.BDH("ALNY US Equity","ST_CAPITAL_LEASE_OBLIGATIONS","FQ4 2020","FQ4 2020","Currency=USD","Period=FQ","BEST_FPERIOD_OVERRIDE=FQ","FILING_STATUS=MR","SCALING_FORMAT=MLN","Sort=A","Dates=H","DateFormat=P","Fill=—","Direction=H","UseDPDF=Y")</f>
        <v>—</v>
      </c>
      <c r="K46" s="18" t="str">
        <f>_xll.BDH("ALNY US Equity","ST_CAPITAL_LEASE_OBLIGATIONS","FQ1 2021","FQ1 2021","Currency=USD","Period=FQ","BEST_FPERIOD_OVERRIDE=FQ","FILING_STATUS=MR","SCALING_FORMAT=MLN","Sort=A","Dates=H","DateFormat=P","Fill=—","Direction=H","UseDPDF=Y")</f>
        <v>—</v>
      </c>
      <c r="L46" s="18" t="str">
        <f>_xll.BDH("ALNY US Equity","ST_CAPITAL_LEASE_OBLIGATIONS","FQ2 2021","FQ2 2021","Currency=USD","Period=FQ","BEST_FPERIOD_OVERRIDE=FQ","FILING_STATUS=MR","SCALING_FORMAT=MLN","Sort=A","Dates=H","DateFormat=P","Fill=—","Direction=H","UseDPDF=Y")</f>
        <v>—</v>
      </c>
      <c r="M46" s="18" t="str">
        <f>_xll.BDH("ALNY US Equity","ST_CAPITAL_LEASE_OBLIGATIONS","FQ3 2021","FQ3 2021","Currency=USD","Period=FQ","BEST_FPERIOD_OVERRIDE=FQ","FILING_STATUS=MR","SCALING_FORMAT=MLN","Sort=A","Dates=H","DateFormat=P","Fill=—","Direction=H","UseDPDF=Y")</f>
        <v>—</v>
      </c>
      <c r="N46" s="18" t="str">
        <f>_xll.BDH("ALNY US Equity","ST_CAPITAL_LEASE_OBLIGATIONS","FQ4 2021","FQ4 2021","Currency=USD","Period=FQ","BEST_FPERIOD_OVERRIDE=FQ","FILING_STATUS=MR","SCALING_FORMAT=MLN","Sort=A","Dates=H","DateFormat=P","Fill=—","Direction=H","UseDPDF=Y")</f>
        <v>—</v>
      </c>
      <c r="O46" s="18" t="str">
        <f>_xll.BDH("ALNY US Equity","ST_CAPITAL_LEASE_OBLIGATIONS","FQ1 2022","FQ1 2022","Currency=USD","Period=FQ","BEST_FPERIOD_OVERRIDE=FQ","FILING_STATUS=MR","SCALING_FORMAT=MLN","Sort=A","Dates=H","DateFormat=P","Fill=—","Direction=H","UseDPDF=Y")</f>
        <v>—</v>
      </c>
      <c r="P46" s="18" t="str">
        <f>_xll.BDH("ALNY US Equity","ST_CAPITAL_LEASE_OBLIGATIONS","FQ2 2022","FQ2 2022","Currency=USD","Period=FQ","BEST_FPERIOD_OVERRIDE=FQ","FILING_STATUS=MR","SCALING_FORMAT=MLN","Sort=A","Dates=H","DateFormat=P","Fill=—","Direction=H","UseDPDF=Y")</f>
        <v>—</v>
      </c>
      <c r="Q46" s="18" t="str">
        <f>_xll.BDH("ALNY US Equity","ST_CAPITAL_LEASE_OBLIGATIONS","FQ3 2022","FQ3 2022","Currency=USD","Period=FQ","BEST_FPERIOD_OVERRIDE=FQ","FILING_STATUS=MR","SCALING_FORMAT=MLN","Sort=A","Dates=H","DateFormat=P","Fill=—","Direction=H","UseDPDF=Y")</f>
        <v>—</v>
      </c>
      <c r="R46" s="18" t="str">
        <f>_xll.BDH("ALNY US Equity","ST_CAPITAL_LEASE_OBLIGATIONS","FQ4 2022","FQ4 2022","Currency=USD","Period=FQ","BEST_FPERIOD_OVERRIDE=FQ","FILING_STATUS=MR","SCALING_FORMAT=MLN","Sort=A","Dates=H","DateFormat=P","Fill=—","Direction=H","UseDPDF=Y")</f>
        <v>—</v>
      </c>
      <c r="S46" s="18" t="str">
        <f>_xll.BDH("ALNY US Equity","ST_CAPITAL_LEASE_OBLIGATIONS","FQ1 2023","FQ1 2023","Currency=USD","Period=FQ","BEST_FPERIOD_OVERRIDE=FQ","FILING_STATUS=MR","SCALING_FORMAT=MLN","Sort=A","Dates=H","DateFormat=P","Fill=—","Direction=H","UseDPDF=Y")</f>
        <v>—</v>
      </c>
      <c r="T46" s="18" t="str">
        <f>_xll.BDH("ALNY US Equity","ST_CAPITAL_LEASE_OBLIGATIONS","FQ2 2023","FQ2 2023","Currency=USD","Period=FQ","BEST_FPERIOD_OVERRIDE=FQ","FILING_STATUS=MR","SCALING_FORMAT=MLN","Sort=A","Dates=H","DateFormat=P","Fill=—","Direction=H","UseDPDF=Y")</f>
        <v>—</v>
      </c>
      <c r="U46" s="18" t="str">
        <f>_xll.BDH("ALNY US Equity","ST_CAPITAL_LEASE_OBLIGATIONS","FQ3 2023","FQ3 2023","Currency=USD","Period=FQ","BEST_FPERIOD_OVERRIDE=FQ","FILING_STATUS=MR","SCALING_FORMAT=MLN","Sort=A","Dates=H","DateFormat=P","Fill=—","Direction=H","UseDPDF=Y")</f>
        <v>—</v>
      </c>
      <c r="V46" s="18" t="str">
        <f>_xll.BDH("ALNY US Equity","ST_CAPITAL_LEASE_OBLIGATIONS","FQ4 2023","FQ4 2023","Currency=USD","Period=FQ","BEST_FPERIOD_OVERRIDE=FQ","FILING_STATUS=MR","SCALING_FORMAT=MLN","Sort=A","Dates=H","DateFormat=P","Fill=—","Direction=H","UseDPDF=Y")</f>
        <v>—</v>
      </c>
      <c r="W46" s="18" t="str">
        <f>_xll.BDH("ALNY US Equity","ST_CAPITAL_LEASE_OBLIGATIONS","FQ1 2024","FQ1 2024","Currency=USD","Period=FQ","BEST_FPERIOD_OVERRIDE=FQ","FILING_STATUS=MR","SCALING_FORMAT=MLN","Sort=A","Dates=H","DateFormat=P","Fill=—","Direction=H","UseDPDF=Y")</f>
        <v>—</v>
      </c>
      <c r="X46" s="18" t="str">
        <f>_xll.BDH("ALNY US Equity","ST_CAPITAL_LEASE_OBLIGATIONS","FQ2 2024","FQ2 2024","Currency=USD","Period=FQ","BEST_FPERIOD_OVERRIDE=FQ","FILING_STATUS=MR","SCALING_FORMAT=MLN","Sort=A","Dates=H","DateFormat=P","Fill=—","Direction=H","UseDPDF=Y")</f>
        <v>—</v>
      </c>
      <c r="Y46" s="18" t="str">
        <f>_xll.BDH("ALNY US Equity","ST_CAPITAL_LEASE_OBLIGATIONS","FQ3 2024","FQ3 2024","Currency=USD","Period=FQ","BEST_FPERIOD_OVERRIDE=FQ","FILING_STATUS=MR","SCALING_FORMAT=MLN","Sort=A","Dates=H","DateFormat=P","Fill=—","Direction=H","UseDPDF=Y")</f>
        <v>—</v>
      </c>
      <c r="Z46" s="18" t="str">
        <f>_xll.BDH("ALNY US Equity","ST_CAPITAL_LEASE_OBLIGATIONS","FQ4 2024","FQ4 2024","Currency=USD","Period=FQ","BEST_FPERIOD_OVERRIDE=FQ","FILING_STATUS=MR","SCALING_FORMAT=MLN","Sort=A","Dates=H","DateFormat=P","Fill=—","Direction=H","UseDPDF=Y")</f>
        <v>—</v>
      </c>
    </row>
    <row r="47" spans="1:26" x14ac:dyDescent="0.25">
      <c r="A47" s="11" t="s">
        <v>250</v>
      </c>
      <c r="B47" s="11" t="s">
        <v>251</v>
      </c>
      <c r="C47" s="18">
        <f>_xll.BDH("ALNY US Equity","BS_ST_OPERATING_LEASE_LIABS","FQ1 2019","FQ1 2019","Currency=USD","Period=FQ","BEST_FPERIOD_OVERRIDE=FQ","FILING_STATUS=MR","SCALING_FORMAT=MLN","Sort=A","Dates=H","DateFormat=P","Fill=—","Direction=H","UseDPDF=Y")</f>
        <v>16.977</v>
      </c>
      <c r="D47" s="18">
        <f>_xll.BDH("ALNY US Equity","BS_ST_OPERATING_LEASE_LIABS","FQ2 2019","FQ2 2019","Currency=USD","Period=FQ","BEST_FPERIOD_OVERRIDE=FQ","FILING_STATUS=MR","SCALING_FORMAT=MLN","Sort=A","Dates=H","DateFormat=P","Fill=—","Direction=H","UseDPDF=Y")</f>
        <v>29.347000000000001</v>
      </c>
      <c r="E47" s="18">
        <f>_xll.BDH("ALNY US Equity","BS_ST_OPERATING_LEASE_LIABS","FQ3 2019","FQ3 2019","Currency=USD","Period=FQ","BEST_FPERIOD_OVERRIDE=FQ","FILING_STATUS=MR","SCALING_FORMAT=MLN","Sort=A","Dates=H","DateFormat=P","Fill=—","Direction=H","UseDPDF=Y")</f>
        <v>28.164999999999999</v>
      </c>
      <c r="F47" s="18">
        <f>_xll.BDH("ALNY US Equity","BS_ST_OPERATING_LEASE_LIABS","FQ4 2019","FQ4 2019","Currency=USD","Period=FQ","BEST_FPERIOD_OVERRIDE=FQ","FILING_STATUS=MR","SCALING_FORMAT=MLN","Sort=A","Dates=H","DateFormat=P","Fill=—","Direction=H","UseDPDF=Y")</f>
        <v>27.687999999999999</v>
      </c>
      <c r="G47" s="18">
        <f>_xll.BDH("ALNY US Equity","BS_ST_OPERATING_LEASE_LIABS","FQ1 2020","FQ1 2020","Currency=USD","Period=FQ","BEST_FPERIOD_OVERRIDE=FQ","FILING_STATUS=MR","SCALING_FORMAT=MLN","Sort=A","Dates=H","DateFormat=P","Fill=—","Direction=H","UseDPDF=Y")</f>
        <v>29.042999999999999</v>
      </c>
      <c r="H47" s="18">
        <f>_xll.BDH("ALNY US Equity","BS_ST_OPERATING_LEASE_LIABS","FQ2 2020","FQ2 2020","Currency=USD","Period=FQ","BEST_FPERIOD_OVERRIDE=FQ","FILING_STATUS=MR","SCALING_FORMAT=MLN","Sort=A","Dates=H","DateFormat=P","Fill=—","Direction=H","UseDPDF=Y")</f>
        <v>33.447000000000003</v>
      </c>
      <c r="I47" s="18">
        <f>_xll.BDH("ALNY US Equity","BS_ST_OPERATING_LEASE_LIABS","FQ3 2020","FQ3 2020","Currency=USD","Period=FQ","BEST_FPERIOD_OVERRIDE=FQ","FILING_STATUS=MR","SCALING_FORMAT=MLN","Sort=A","Dates=H","DateFormat=P","Fill=—","Direction=H","UseDPDF=Y")</f>
        <v>32.192</v>
      </c>
      <c r="J47" s="18">
        <f>_xll.BDH("ALNY US Equity","BS_ST_OPERATING_LEASE_LIABS","FQ4 2020","FQ4 2020","Currency=USD","Period=FQ","BEST_FPERIOD_OVERRIDE=FQ","FILING_STATUS=MR","SCALING_FORMAT=MLN","Sort=A","Dates=H","DateFormat=P","Fill=—","Direction=H","UseDPDF=Y")</f>
        <v>36.872</v>
      </c>
      <c r="K47" s="18">
        <f>_xll.BDH("ALNY US Equity","BS_ST_OPERATING_LEASE_LIABS","FQ1 2021","FQ1 2021","Currency=USD","Period=FQ","BEST_FPERIOD_OVERRIDE=FQ","FILING_STATUS=MR","SCALING_FORMAT=MLN","Sort=A","Dates=H","DateFormat=P","Fill=—","Direction=H","UseDPDF=Y")</f>
        <v>38.917000000000002</v>
      </c>
      <c r="L47" s="18">
        <f>_xll.BDH("ALNY US Equity","BS_ST_OPERATING_LEASE_LIABS","FQ2 2021","FQ2 2021","Currency=USD","Period=FQ","BEST_FPERIOD_OVERRIDE=FQ","FILING_STATUS=MR","SCALING_FORMAT=MLN","Sort=A","Dates=H","DateFormat=P","Fill=—","Direction=H","UseDPDF=Y")</f>
        <v>39.362000000000002</v>
      </c>
      <c r="M47" s="18">
        <f>_xll.BDH("ALNY US Equity","BS_ST_OPERATING_LEASE_LIABS","FQ3 2021","FQ3 2021","Currency=USD","Period=FQ","BEST_FPERIOD_OVERRIDE=FQ","FILING_STATUS=MR","SCALING_FORMAT=MLN","Sort=A","Dates=H","DateFormat=P","Fill=—","Direction=H","UseDPDF=Y")</f>
        <v>40.612000000000002</v>
      </c>
      <c r="N47" s="18">
        <f>_xll.BDH("ALNY US Equity","BS_ST_OPERATING_LEASE_LIABS","FQ4 2021","FQ4 2021","Currency=USD","Period=FQ","BEST_FPERIOD_OVERRIDE=FQ","FILING_STATUS=MR","SCALING_FORMAT=MLN","Sort=A","Dates=H","DateFormat=P","Fill=—","Direction=H","UseDPDF=Y")</f>
        <v>40.548000000000002</v>
      </c>
      <c r="O47" s="18">
        <f>_xll.BDH("ALNY US Equity","BS_ST_OPERATING_LEASE_LIABS","FQ1 2022","FQ1 2022","Currency=USD","Period=FQ","BEST_FPERIOD_OVERRIDE=FQ","FILING_STATUS=MR","SCALING_FORMAT=MLN","Sort=A","Dates=H","DateFormat=P","Fill=—","Direction=H","UseDPDF=Y")</f>
        <v>41.29</v>
      </c>
      <c r="P47" s="18">
        <f>_xll.BDH("ALNY US Equity","BS_ST_OPERATING_LEASE_LIABS","FQ2 2022","FQ2 2022","Currency=USD","Period=FQ","BEST_FPERIOD_OVERRIDE=FQ","FILING_STATUS=MR","SCALING_FORMAT=MLN","Sort=A","Dates=H","DateFormat=P","Fill=—","Direction=H","UseDPDF=Y")</f>
        <v>41.235999999999997</v>
      </c>
      <c r="Q47" s="18">
        <f>_xll.BDH("ALNY US Equity","BS_ST_OPERATING_LEASE_LIABS","FQ3 2022","FQ3 2022","Currency=USD","Period=FQ","BEST_FPERIOD_OVERRIDE=FQ","FILING_STATUS=MR","SCALING_FORMAT=MLN","Sort=A","Dates=H","DateFormat=P","Fill=—","Direction=H","UseDPDF=Y")</f>
        <v>41.581000000000003</v>
      </c>
      <c r="R47" s="18">
        <f>_xll.BDH("ALNY US Equity","BS_ST_OPERATING_LEASE_LIABS","FQ4 2022","FQ4 2022","Currency=USD","Period=FQ","BEST_FPERIOD_OVERRIDE=FQ","FILING_STATUS=MR","SCALING_FORMAT=MLN","Sort=A","Dates=H","DateFormat=P","Fill=—","Direction=H","UseDPDF=Y")</f>
        <v>41.966999999999999</v>
      </c>
      <c r="S47" s="18">
        <f>_xll.BDH("ALNY US Equity","BS_ST_OPERATING_LEASE_LIABS","FQ1 2023","FQ1 2023","Currency=USD","Period=FQ","BEST_FPERIOD_OVERRIDE=FQ","FILING_STATUS=MR","SCALING_FORMAT=MLN","Sort=A","Dates=H","DateFormat=P","Fill=—","Direction=H","UseDPDF=Y")</f>
        <v>43.055</v>
      </c>
      <c r="T47" s="18">
        <f>_xll.BDH("ALNY US Equity","BS_ST_OPERATING_LEASE_LIABS","FQ2 2023","FQ2 2023","Currency=USD","Period=FQ","BEST_FPERIOD_OVERRIDE=FQ","FILING_STATUS=MR","SCALING_FORMAT=MLN","Sort=A","Dates=H","DateFormat=P","Fill=—","Direction=H","UseDPDF=Y")</f>
        <v>42.073999999999998</v>
      </c>
      <c r="U47" s="18">
        <f>_xll.BDH("ALNY US Equity","BS_ST_OPERATING_LEASE_LIABS","FQ3 2023","FQ3 2023","Currency=USD","Period=FQ","BEST_FPERIOD_OVERRIDE=FQ","FILING_STATUS=MR","SCALING_FORMAT=MLN","Sort=A","Dates=H","DateFormat=P","Fill=—","Direction=H","UseDPDF=Y")</f>
        <v>41.515999999999998</v>
      </c>
      <c r="V47" s="18">
        <f>_xll.BDH("ALNY US Equity","BS_ST_OPERATING_LEASE_LIABS","FQ4 2023","FQ4 2023","Currency=USD","Period=FQ","BEST_FPERIOD_OVERRIDE=FQ","FILING_STATUS=MR","SCALING_FORMAT=MLN","Sort=A","Dates=H","DateFormat=P","Fill=—","Direction=H","UseDPDF=Y")</f>
        <v>41.51</v>
      </c>
      <c r="W47" s="18">
        <f>_xll.BDH("ALNY US Equity","BS_ST_OPERATING_LEASE_LIABS","FQ1 2024","FQ1 2024","Currency=USD","Period=FQ","BEST_FPERIOD_OVERRIDE=FQ","FILING_STATUS=MR","SCALING_FORMAT=MLN","Sort=A","Dates=H","DateFormat=P","Fill=—","Direction=H","UseDPDF=Y")</f>
        <v>41.671999999999997</v>
      </c>
      <c r="X47" s="18">
        <f>_xll.BDH("ALNY US Equity","BS_ST_OPERATING_LEASE_LIABS","FQ2 2024","FQ2 2024","Currency=USD","Period=FQ","BEST_FPERIOD_OVERRIDE=FQ","FILING_STATUS=MR","SCALING_FORMAT=MLN","Sort=A","Dates=H","DateFormat=P","Fill=—","Direction=H","UseDPDF=Y")</f>
        <v>41.655999999999999</v>
      </c>
      <c r="Y47" s="18">
        <f>_xll.BDH("ALNY US Equity","BS_ST_OPERATING_LEASE_LIABS","FQ3 2024","FQ3 2024","Currency=USD","Period=FQ","BEST_FPERIOD_OVERRIDE=FQ","FILING_STATUS=MR","SCALING_FORMAT=MLN","Sort=A","Dates=H","DateFormat=P","Fill=—","Direction=H","UseDPDF=Y")</f>
        <v>42.143999999999998</v>
      </c>
      <c r="Z47" s="18">
        <f>_xll.BDH("ALNY US Equity","BS_ST_OPERATING_LEASE_LIABS","FQ4 2024","FQ4 2024","Currency=USD","Period=FQ","BEST_FPERIOD_OVERRIDE=FQ","FILING_STATUS=MR","SCALING_FORMAT=MLN","Sort=A","Dates=H","DateFormat=P","Fill=—","Direction=H","UseDPDF=Y")</f>
        <v>41.886000000000003</v>
      </c>
    </row>
    <row r="48" spans="1:26" x14ac:dyDescent="0.25">
      <c r="A48" s="10" t="s">
        <v>252</v>
      </c>
      <c r="B48" s="10" t="s">
        <v>253</v>
      </c>
      <c r="C48" s="13">
        <f>_xll.BDH("ALNY US Equity","OTHER_CURRENT_LIABS_SUB_DETAILED","FQ1 2019","FQ1 2019","Currency=USD","Period=FQ","BEST_FPERIOD_OVERRIDE=FQ","FILING_STATUS=MR","SCALING_FORMAT=MLN","Sort=A","Dates=H","DateFormat=P","Fill=—","Direction=H","UseDPDF=Y")</f>
        <v>2.6419999999999999</v>
      </c>
      <c r="D48" s="13">
        <f>_xll.BDH("ALNY US Equity","OTHER_CURRENT_LIABS_SUB_DETAILED","FQ2 2019","FQ2 2019","Currency=USD","Period=FQ","BEST_FPERIOD_OVERRIDE=FQ","FILING_STATUS=MR","SCALING_FORMAT=MLN","Sort=A","Dates=H","DateFormat=P","Fill=—","Direction=H","UseDPDF=Y")</f>
        <v>89.242000000000004</v>
      </c>
      <c r="E48" s="13">
        <f>_xll.BDH("ALNY US Equity","OTHER_CURRENT_LIABS_SUB_DETAILED","FQ3 2019","FQ3 2019","Currency=USD","Period=FQ","BEST_FPERIOD_OVERRIDE=FQ","FILING_STATUS=MR","SCALING_FORMAT=MLN","Sort=A","Dates=H","DateFormat=P","Fill=—","Direction=H","UseDPDF=Y")</f>
        <v>107.35899999999999</v>
      </c>
      <c r="F48" s="13">
        <f>_xll.BDH("ALNY US Equity","OTHER_CURRENT_LIABS_SUB_DETAILED","FQ4 2019","FQ4 2019","Currency=USD","Period=FQ","BEST_FPERIOD_OVERRIDE=FQ","FILING_STATUS=MR","SCALING_FORMAT=MLN","Sort=A","Dates=H","DateFormat=P","Fill=—","Direction=H","UseDPDF=Y")</f>
        <v>77.820999999999998</v>
      </c>
      <c r="G48" s="13">
        <f>_xll.BDH("ALNY US Equity","OTHER_CURRENT_LIABS_SUB_DETAILED","FQ1 2020","FQ1 2020","Currency=USD","Period=FQ","BEST_FPERIOD_OVERRIDE=FQ","FILING_STATUS=MR","SCALING_FORMAT=MLN","Sort=A","Dates=H","DateFormat=P","Fill=—","Direction=H","UseDPDF=Y")</f>
        <v>86.043000000000006</v>
      </c>
      <c r="H48" s="13">
        <f>_xll.BDH("ALNY US Equity","OTHER_CURRENT_LIABS_SUB_DETAILED","FQ2 2020","FQ2 2020","Currency=USD","Period=FQ","BEST_FPERIOD_OVERRIDE=FQ","FILING_STATUS=MR","SCALING_FORMAT=MLN","Sort=A","Dates=H","DateFormat=P","Fill=—","Direction=H","UseDPDF=Y")</f>
        <v>113.544</v>
      </c>
      <c r="I48" s="13">
        <f>_xll.BDH("ALNY US Equity","OTHER_CURRENT_LIABS_SUB_DETAILED","FQ3 2020","FQ3 2020","Currency=USD","Period=FQ","BEST_FPERIOD_OVERRIDE=FQ","FILING_STATUS=MR","SCALING_FORMAT=MLN","Sort=A","Dates=H","DateFormat=P","Fill=—","Direction=H","UseDPDF=Y")</f>
        <v>124.917</v>
      </c>
      <c r="J48" s="13">
        <f>_xll.BDH("ALNY US Equity","OTHER_CURRENT_LIABS_SUB_DETAILED","FQ4 2020","FQ4 2020","Currency=USD","Period=FQ","BEST_FPERIOD_OVERRIDE=FQ","FILING_STATUS=MR","SCALING_FORMAT=MLN","Sort=A","Dates=H","DateFormat=P","Fill=—","Direction=H","UseDPDF=Y")</f>
        <v>140.523</v>
      </c>
      <c r="K48" s="13">
        <f>_xll.BDH("ALNY US Equity","OTHER_CURRENT_LIABS_SUB_DETAILED","FQ1 2021","FQ1 2021","Currency=USD","Period=FQ","BEST_FPERIOD_OVERRIDE=FQ","FILING_STATUS=MR","SCALING_FORMAT=MLN","Sort=A","Dates=H","DateFormat=P","Fill=—","Direction=H","UseDPDF=Y")</f>
        <v>130</v>
      </c>
      <c r="L48" s="13">
        <f>_xll.BDH("ALNY US Equity","OTHER_CURRENT_LIABS_SUB_DETAILED","FQ2 2021","FQ2 2021","Currency=USD","Period=FQ","BEST_FPERIOD_OVERRIDE=FQ","FILING_STATUS=MR","SCALING_FORMAT=MLN","Sort=A","Dates=H","DateFormat=P","Fill=—","Direction=H","UseDPDF=Y")</f>
        <v>121.02</v>
      </c>
      <c r="M48" s="13">
        <f>_xll.BDH("ALNY US Equity","OTHER_CURRENT_LIABS_SUB_DETAILED","FQ3 2021","FQ3 2021","Currency=USD","Period=FQ","BEST_FPERIOD_OVERRIDE=FQ","FILING_STATUS=MR","SCALING_FORMAT=MLN","Sort=A","Dates=H","DateFormat=P","Fill=—","Direction=H","UseDPDF=Y")</f>
        <v>141.41999999999999</v>
      </c>
      <c r="N48" s="13">
        <f>_xll.BDH("ALNY US Equity","OTHER_CURRENT_LIABS_SUB_DETAILED","FQ4 2021","FQ4 2021","Currency=USD","Period=FQ","BEST_FPERIOD_OVERRIDE=FQ","FILING_STATUS=MR","SCALING_FORMAT=MLN","Sort=A","Dates=H","DateFormat=P","Fill=—","Direction=H","UseDPDF=Y")</f>
        <v>186.56200000000001</v>
      </c>
      <c r="O48" s="13">
        <f>_xll.BDH("ALNY US Equity","OTHER_CURRENT_LIABS_SUB_DETAILED","FQ1 2022","FQ1 2022","Currency=USD","Period=FQ","BEST_FPERIOD_OVERRIDE=FQ","FILING_STATUS=MR","SCALING_FORMAT=MLN","Sort=A","Dates=H","DateFormat=P","Fill=—","Direction=H","UseDPDF=Y")</f>
        <v>153.821</v>
      </c>
      <c r="P48" s="13">
        <f>_xll.BDH("ALNY US Equity","OTHER_CURRENT_LIABS_SUB_DETAILED","FQ2 2022","FQ2 2022","Currency=USD","Period=FQ","BEST_FPERIOD_OVERRIDE=FQ","FILING_STATUS=MR","SCALING_FORMAT=MLN","Sort=A","Dates=H","DateFormat=P","Fill=—","Direction=H","UseDPDF=Y")</f>
        <v>142.78800000000001</v>
      </c>
      <c r="Q48" s="13">
        <f>_xll.BDH("ALNY US Equity","OTHER_CURRENT_LIABS_SUB_DETAILED","FQ3 2022","FQ3 2022","Currency=USD","Period=FQ","BEST_FPERIOD_OVERRIDE=FQ","FILING_STATUS=MR","SCALING_FORMAT=MLN","Sort=A","Dates=H","DateFormat=P","Fill=—","Direction=H","UseDPDF=Y")</f>
        <v>180.059</v>
      </c>
      <c r="R48" s="13">
        <f>_xll.BDH("ALNY US Equity","OTHER_CURRENT_LIABS_SUB_DETAILED","FQ4 2022","FQ4 2022","Currency=USD","Period=FQ","BEST_FPERIOD_OVERRIDE=FQ","FILING_STATUS=MR","SCALING_FORMAT=MLN","Sort=A","Dates=H","DateFormat=P","Fill=—","Direction=H","UseDPDF=Y")</f>
        <v>82.394000000000005</v>
      </c>
      <c r="S48" s="13">
        <f>_xll.BDH("ALNY US Equity","OTHER_CURRENT_LIABS_SUB_DETAILED","FQ1 2023","FQ1 2023","Currency=USD","Period=FQ","BEST_FPERIOD_OVERRIDE=FQ","FILING_STATUS=MR","SCALING_FORMAT=MLN","Sort=A","Dates=H","DateFormat=P","Fill=—","Direction=H","UseDPDF=Y")</f>
        <v>59.5</v>
      </c>
      <c r="T48" s="13">
        <f>_xll.BDH("ALNY US Equity","OTHER_CURRENT_LIABS_SUB_DETAILED","FQ2 2023","FQ2 2023","Currency=USD","Period=FQ","BEST_FPERIOD_OVERRIDE=FQ","FILING_STATUS=MR","SCALING_FORMAT=MLN","Sort=A","Dates=H","DateFormat=P","Fill=—","Direction=H","UseDPDF=Y")</f>
        <v>88.289000000000001</v>
      </c>
      <c r="U48" s="13">
        <f>_xll.BDH("ALNY US Equity","OTHER_CURRENT_LIABS_SUB_DETAILED","FQ3 2023","FQ3 2023","Currency=USD","Period=FQ","BEST_FPERIOD_OVERRIDE=FQ","FILING_STATUS=MR","SCALING_FORMAT=MLN","Sort=A","Dates=H","DateFormat=P","Fill=—","Direction=H","UseDPDF=Y")</f>
        <v>121.33499999999999</v>
      </c>
      <c r="V48" s="13">
        <f>_xll.BDH("ALNY US Equity","OTHER_CURRENT_LIABS_SUB_DETAILED","FQ4 2023","FQ4 2023","Currency=USD","Period=FQ","BEST_FPERIOD_OVERRIDE=FQ","FILING_STATUS=MR","SCALING_FORMAT=MLN","Sort=A","Dates=H","DateFormat=P","Fill=—","Direction=H","UseDPDF=Y")</f>
        <v>157.744</v>
      </c>
      <c r="W48" s="13">
        <f>_xll.BDH("ALNY US Equity","OTHER_CURRENT_LIABS_SUB_DETAILED","FQ1 2024","FQ1 2024","Currency=USD","Period=FQ","BEST_FPERIOD_OVERRIDE=FQ","FILING_STATUS=MR","SCALING_FORMAT=MLN","Sort=A","Dates=H","DateFormat=P","Fill=—","Direction=H","UseDPDF=Y")</f>
        <v>123.024</v>
      </c>
      <c r="X48" s="13">
        <f>_xll.BDH("ALNY US Equity","OTHER_CURRENT_LIABS_SUB_DETAILED","FQ2 2024","FQ2 2024","Currency=USD","Period=FQ","BEST_FPERIOD_OVERRIDE=FQ","FILING_STATUS=MR","SCALING_FORMAT=MLN","Sort=A","Dates=H","DateFormat=P","Fill=—","Direction=H","UseDPDF=Y")</f>
        <v>130.97200000000001</v>
      </c>
      <c r="Y48" s="13">
        <f>_xll.BDH("ALNY US Equity","OTHER_CURRENT_LIABS_SUB_DETAILED","FQ3 2024","FQ3 2024","Currency=USD","Period=FQ","BEST_FPERIOD_OVERRIDE=FQ","FILING_STATUS=MR","SCALING_FORMAT=MLN","Sort=A","Dates=H","DateFormat=P","Fill=—","Direction=H","UseDPDF=Y")</f>
        <v>161.54599999999999</v>
      </c>
      <c r="Z48" s="13">
        <f>_xll.BDH("ALNY US Equity","OTHER_CURRENT_LIABS_SUB_DETAILED","FQ4 2024","FQ4 2024","Currency=USD","Period=FQ","BEST_FPERIOD_OVERRIDE=FQ","FILING_STATUS=MR","SCALING_FORMAT=MLN","Sort=A","Dates=H","DateFormat=P","Fill=—","Direction=H","UseDPDF=Y")</f>
        <v>168.499</v>
      </c>
    </row>
    <row r="49" spans="1:26" x14ac:dyDescent="0.25">
      <c r="A49" s="10" t="s">
        <v>254</v>
      </c>
      <c r="B49" s="10" t="s">
        <v>255</v>
      </c>
      <c r="C49" s="13">
        <f>_xll.BDH("ALNY US Equity","ST_DEFERRED_REVENUE","FQ1 2019","FQ1 2019","Currency=USD","Period=FQ","BEST_FPERIOD_OVERRIDE=FQ","FILING_STATUS=MR","SCALING_FORMAT=MLN","Sort=A","Dates=H","DateFormat=P","Fill=—","Direction=H","UseDPDF=Y")</f>
        <v>2.6419999999999999</v>
      </c>
      <c r="D49" s="13">
        <f>_xll.BDH("ALNY US Equity","ST_DEFERRED_REVENUE","FQ2 2019","FQ2 2019","Currency=USD","Period=FQ","BEST_FPERIOD_OVERRIDE=FQ","FILING_STATUS=MR","SCALING_FORMAT=MLN","Sort=A","Dates=H","DateFormat=P","Fill=—","Direction=H","UseDPDF=Y")</f>
        <v>89.242000000000004</v>
      </c>
      <c r="E49" s="13">
        <f>_xll.BDH("ALNY US Equity","ST_DEFERRED_REVENUE","FQ3 2019","FQ3 2019","Currency=USD","Period=FQ","BEST_FPERIOD_OVERRIDE=FQ","FILING_STATUS=MR","SCALING_FORMAT=MLN","Sort=A","Dates=H","DateFormat=P","Fill=—","Direction=H","UseDPDF=Y")</f>
        <v>107.35899999999999</v>
      </c>
      <c r="F49" s="13">
        <f>_xll.BDH("ALNY US Equity","ST_DEFERRED_REVENUE","FQ4 2019","FQ4 2019","Currency=USD","Period=FQ","BEST_FPERIOD_OVERRIDE=FQ","FILING_STATUS=MR","SCALING_FORMAT=MLN","Sort=A","Dates=H","DateFormat=P","Fill=—","Direction=H","UseDPDF=Y")</f>
        <v>77.820999999999998</v>
      </c>
      <c r="G49" s="13">
        <f>_xll.BDH("ALNY US Equity","ST_DEFERRED_REVENUE","FQ1 2020","FQ1 2020","Currency=USD","Period=FQ","BEST_FPERIOD_OVERRIDE=FQ","FILING_STATUS=MR","SCALING_FORMAT=MLN","Sort=A","Dates=H","DateFormat=P","Fill=—","Direction=H","UseDPDF=Y")</f>
        <v>86.043000000000006</v>
      </c>
      <c r="H49" s="13">
        <f>_xll.BDH("ALNY US Equity","ST_DEFERRED_REVENUE","FQ2 2020","FQ2 2020","Currency=USD","Period=FQ","BEST_FPERIOD_OVERRIDE=FQ","FILING_STATUS=MR","SCALING_FORMAT=MLN","Sort=A","Dates=H","DateFormat=P","Fill=—","Direction=H","UseDPDF=Y")</f>
        <v>107.587</v>
      </c>
      <c r="I49" s="13">
        <f>_xll.BDH("ALNY US Equity","ST_DEFERRED_REVENUE","FQ3 2020","FQ3 2020","Currency=USD","Period=FQ","BEST_FPERIOD_OVERRIDE=FQ","FILING_STATUS=MR","SCALING_FORMAT=MLN","Sort=A","Dates=H","DateFormat=P","Fill=—","Direction=H","UseDPDF=Y")</f>
        <v>114.601</v>
      </c>
      <c r="J49" s="13">
        <f>_xll.BDH("ALNY US Equity","ST_DEFERRED_REVENUE","FQ4 2020","FQ4 2020","Currency=USD","Period=FQ","BEST_FPERIOD_OVERRIDE=FQ","FILING_STATUS=MR","SCALING_FORMAT=MLN","Sort=A","Dates=H","DateFormat=P","Fill=—","Direction=H","UseDPDF=Y")</f>
        <v>127.20699999999999</v>
      </c>
      <c r="K49" s="13">
        <f>_xll.BDH("ALNY US Equity","ST_DEFERRED_REVENUE","FQ1 2021","FQ1 2021","Currency=USD","Period=FQ","BEST_FPERIOD_OVERRIDE=FQ","FILING_STATUS=MR","SCALING_FORMAT=MLN","Sort=A","Dates=H","DateFormat=P","Fill=—","Direction=H","UseDPDF=Y")</f>
        <v>116.34</v>
      </c>
      <c r="L49" s="13">
        <f>_xll.BDH("ALNY US Equity","ST_DEFERRED_REVENUE","FQ2 2021","FQ2 2021","Currency=USD","Period=FQ","BEST_FPERIOD_OVERRIDE=FQ","FILING_STATUS=MR","SCALING_FORMAT=MLN","Sort=A","Dates=H","DateFormat=P","Fill=—","Direction=H","UseDPDF=Y")</f>
        <v>98.144000000000005</v>
      </c>
      <c r="M49" s="13">
        <f>_xll.BDH("ALNY US Equity","ST_DEFERRED_REVENUE","FQ3 2021","FQ3 2021","Currency=USD","Period=FQ","BEST_FPERIOD_OVERRIDE=FQ","FILING_STATUS=MR","SCALING_FORMAT=MLN","Sort=A","Dates=H","DateFormat=P","Fill=—","Direction=H","UseDPDF=Y")</f>
        <v>115.044</v>
      </c>
      <c r="N49" s="13">
        <f>_xll.BDH("ALNY US Equity","ST_DEFERRED_REVENUE","FQ4 2021","FQ4 2021","Currency=USD","Period=FQ","BEST_FPERIOD_OVERRIDE=FQ","FILING_STATUS=MR","SCALING_FORMAT=MLN","Sort=A","Dates=H","DateFormat=P","Fill=—","Direction=H","UseDPDF=Y")</f>
        <v>149.483</v>
      </c>
      <c r="O49" s="13">
        <f>_xll.BDH("ALNY US Equity","ST_DEFERRED_REVENUE","FQ1 2022","FQ1 2022","Currency=USD","Period=FQ","BEST_FPERIOD_OVERRIDE=FQ","FILING_STATUS=MR","SCALING_FORMAT=MLN","Sort=A","Dates=H","DateFormat=P","Fill=—","Direction=H","UseDPDF=Y")</f>
        <v>131.83799999999999</v>
      </c>
      <c r="P49" s="13">
        <f>_xll.BDH("ALNY US Equity","ST_DEFERRED_REVENUE","FQ2 2022","FQ2 2022","Currency=USD","Period=FQ","BEST_FPERIOD_OVERRIDE=FQ","FILING_STATUS=MR","SCALING_FORMAT=MLN","Sort=A","Dates=H","DateFormat=P","Fill=—","Direction=H","UseDPDF=Y")</f>
        <v>114.292</v>
      </c>
      <c r="Q49" s="13">
        <f>_xll.BDH("ALNY US Equity","ST_DEFERRED_REVENUE","FQ3 2022","FQ3 2022","Currency=USD","Period=FQ","BEST_FPERIOD_OVERRIDE=FQ","FILING_STATUS=MR","SCALING_FORMAT=MLN","Sort=A","Dates=H","DateFormat=P","Fill=—","Direction=H","UseDPDF=Y")</f>
        <v>144.208</v>
      </c>
      <c r="R49" s="13">
        <f>_xll.BDH("ALNY US Equity","ST_DEFERRED_REVENUE","FQ4 2022","FQ4 2022","Currency=USD","Period=FQ","BEST_FPERIOD_OVERRIDE=FQ","FILING_STATUS=MR","SCALING_FORMAT=MLN","Sort=A","Dates=H","DateFormat=P","Fill=—","Direction=H","UseDPDF=Y")</f>
        <v>42.104999999999997</v>
      </c>
      <c r="S49" s="13">
        <f>_xll.BDH("ALNY US Equity","ST_DEFERRED_REVENUE","FQ1 2023","FQ1 2023","Currency=USD","Period=FQ","BEST_FPERIOD_OVERRIDE=FQ","FILING_STATUS=MR","SCALING_FORMAT=MLN","Sort=A","Dates=H","DateFormat=P","Fill=—","Direction=H","UseDPDF=Y")</f>
        <v>35.793999999999997</v>
      </c>
      <c r="T49" s="13">
        <f>_xll.BDH("ALNY US Equity","ST_DEFERRED_REVENUE","FQ2 2023","FQ2 2023","Currency=USD","Period=FQ","BEST_FPERIOD_OVERRIDE=FQ","FILING_STATUS=MR","SCALING_FORMAT=MLN","Sort=A","Dates=H","DateFormat=P","Fill=—","Direction=H","UseDPDF=Y")</f>
        <v>54.639000000000003</v>
      </c>
      <c r="U49" s="13">
        <f>_xll.BDH("ALNY US Equity","ST_DEFERRED_REVENUE","FQ3 2023","FQ3 2023","Currency=USD","Period=FQ","BEST_FPERIOD_OVERRIDE=FQ","FILING_STATUS=MR","SCALING_FORMAT=MLN","Sort=A","Dates=H","DateFormat=P","Fill=—","Direction=H","UseDPDF=Y")</f>
        <v>77.14</v>
      </c>
      <c r="V49" s="13">
        <f>_xll.BDH("ALNY US Equity","ST_DEFERRED_REVENUE","FQ4 2023","FQ4 2023","Currency=USD","Period=FQ","BEST_FPERIOD_OVERRIDE=FQ","FILING_STATUS=MR","SCALING_FORMAT=MLN","Sort=A","Dates=H","DateFormat=P","Fill=—","Direction=H","UseDPDF=Y")</f>
        <v>102.753</v>
      </c>
      <c r="W49" s="13">
        <f>_xll.BDH("ALNY US Equity","ST_DEFERRED_REVENUE","FQ1 2024","FQ1 2024","Currency=USD","Period=FQ","BEST_FPERIOD_OVERRIDE=FQ","FILING_STATUS=MR","SCALING_FORMAT=MLN","Sort=A","Dates=H","DateFormat=P","Fill=—","Direction=H","UseDPDF=Y")</f>
        <v>76.849999999999994</v>
      </c>
      <c r="X49" s="13">
        <f>_xll.BDH("ALNY US Equity","ST_DEFERRED_REVENUE","FQ2 2024","FQ2 2024","Currency=USD","Period=FQ","BEST_FPERIOD_OVERRIDE=FQ","FILING_STATUS=MR","SCALING_FORMAT=MLN","Sort=A","Dates=H","DateFormat=P","Fill=—","Direction=H","UseDPDF=Y")</f>
        <v>69.009</v>
      </c>
      <c r="Y49" s="13">
        <f>_xll.BDH("ALNY US Equity","ST_DEFERRED_REVENUE","FQ3 2024","FQ3 2024","Currency=USD","Period=FQ","BEST_FPERIOD_OVERRIDE=FQ","FILING_STATUS=MR","SCALING_FORMAT=MLN","Sort=A","Dates=H","DateFormat=P","Fill=—","Direction=H","UseDPDF=Y")</f>
        <v>71.03</v>
      </c>
      <c r="Z49" s="13">
        <f>_xll.BDH("ALNY US Equity","ST_DEFERRED_REVENUE","FQ4 2024","FQ4 2024","Currency=USD","Period=FQ","BEST_FPERIOD_OVERRIDE=FQ","FILING_STATUS=MR","SCALING_FORMAT=MLN","Sort=A","Dates=H","DateFormat=P","Fill=—","Direction=H","UseDPDF=Y")</f>
        <v>55.481000000000002</v>
      </c>
    </row>
    <row r="50" spans="1:26" x14ac:dyDescent="0.25">
      <c r="A50" s="10" t="s">
        <v>256</v>
      </c>
      <c r="B50" s="10" t="s">
        <v>257</v>
      </c>
      <c r="C50" s="13" t="str">
        <f>_xll.BDH("ALNY US Equity","BS_DERIV_HEDGING_LIAB_ST","FQ1 2019","FQ1 2019","Currency=USD","Period=FQ","BEST_FPERIOD_OVERRIDE=FQ","FILING_STATUS=MR","SCALING_FORMAT=MLN","Sort=A","Dates=H","DateFormat=P","Fill=—","Direction=H","UseDPDF=Y")</f>
        <v>—</v>
      </c>
      <c r="D50" s="13" t="str">
        <f>_xll.BDH("ALNY US Equity","BS_DERIV_HEDGING_LIAB_ST","FQ2 2019","FQ2 2019","Currency=USD","Period=FQ","BEST_FPERIOD_OVERRIDE=FQ","FILING_STATUS=MR","SCALING_FORMAT=MLN","Sort=A","Dates=H","DateFormat=P","Fill=—","Direction=H","UseDPDF=Y")</f>
        <v>—</v>
      </c>
      <c r="E50" s="13" t="str">
        <f>_xll.BDH("ALNY US Equity","BS_DERIV_HEDGING_LIAB_ST","FQ3 2019","FQ3 2019","Currency=USD","Period=FQ","BEST_FPERIOD_OVERRIDE=FQ","FILING_STATUS=MR","SCALING_FORMAT=MLN","Sort=A","Dates=H","DateFormat=P","Fill=—","Direction=H","UseDPDF=Y")</f>
        <v>—</v>
      </c>
      <c r="F50" s="13">
        <f>_xll.BDH("ALNY US Equity","BS_DERIV_HEDGING_LIAB_ST","FQ4 2019","FQ4 2019","Currency=USD","Period=FQ","BEST_FPERIOD_OVERRIDE=FQ","FILING_STATUS=MR","SCALING_FORMAT=MLN","Sort=A","Dates=H","DateFormat=P","Fill=—","Direction=H","UseDPDF=Y")</f>
        <v>0</v>
      </c>
      <c r="G50" s="13" t="str">
        <f>_xll.BDH("ALNY US Equity","BS_DERIV_HEDGING_LIAB_ST","FQ1 2020","FQ1 2020","Currency=USD","Period=FQ","BEST_FPERIOD_OVERRIDE=FQ","FILING_STATUS=MR","SCALING_FORMAT=MLN","Sort=A","Dates=H","DateFormat=P","Fill=—","Direction=H","UseDPDF=Y")</f>
        <v>—</v>
      </c>
      <c r="H50" s="13" t="str">
        <f>_xll.BDH("ALNY US Equity","BS_DERIV_HEDGING_LIAB_ST","FQ2 2020","FQ2 2020","Currency=USD","Period=FQ","BEST_FPERIOD_OVERRIDE=FQ","FILING_STATUS=MR","SCALING_FORMAT=MLN","Sort=A","Dates=H","DateFormat=P","Fill=—","Direction=H","UseDPDF=Y")</f>
        <v>—</v>
      </c>
      <c r="I50" s="13" t="str">
        <f>_xll.BDH("ALNY US Equity","BS_DERIV_HEDGING_LIAB_ST","FQ3 2020","FQ3 2020","Currency=USD","Period=FQ","BEST_FPERIOD_OVERRIDE=FQ","FILING_STATUS=MR","SCALING_FORMAT=MLN","Sort=A","Dates=H","DateFormat=P","Fill=—","Direction=H","UseDPDF=Y")</f>
        <v>—</v>
      </c>
      <c r="J50" s="13">
        <f>_xll.BDH("ALNY US Equity","BS_DERIV_HEDGING_LIAB_ST","FQ4 2020","FQ4 2020","Currency=USD","Period=FQ","BEST_FPERIOD_OVERRIDE=FQ","FILING_STATUS=MR","SCALING_FORMAT=MLN","Sort=A","Dates=H","DateFormat=P","Fill=—","Direction=H","UseDPDF=Y")</f>
        <v>0</v>
      </c>
      <c r="K50" s="13" t="str">
        <f>_xll.BDH("ALNY US Equity","BS_DERIV_HEDGING_LIAB_ST","FQ1 2021","FQ1 2021","Currency=USD","Period=FQ","BEST_FPERIOD_OVERRIDE=FQ","FILING_STATUS=MR","SCALING_FORMAT=MLN","Sort=A","Dates=H","DateFormat=P","Fill=—","Direction=H","UseDPDF=Y")</f>
        <v>—</v>
      </c>
      <c r="L50" s="13" t="str">
        <f>_xll.BDH("ALNY US Equity","BS_DERIV_HEDGING_LIAB_ST","FQ2 2021","FQ2 2021","Currency=USD","Period=FQ","BEST_FPERIOD_OVERRIDE=FQ","FILING_STATUS=MR","SCALING_FORMAT=MLN","Sort=A","Dates=H","DateFormat=P","Fill=—","Direction=H","UseDPDF=Y")</f>
        <v>—</v>
      </c>
      <c r="M50" s="13" t="str">
        <f>_xll.BDH("ALNY US Equity","BS_DERIV_HEDGING_LIAB_ST","FQ3 2021","FQ3 2021","Currency=USD","Period=FQ","BEST_FPERIOD_OVERRIDE=FQ","FILING_STATUS=MR","SCALING_FORMAT=MLN","Sort=A","Dates=H","DateFormat=P","Fill=—","Direction=H","UseDPDF=Y")</f>
        <v>—</v>
      </c>
      <c r="N50" s="13">
        <f>_xll.BDH("ALNY US Equity","BS_DERIV_HEDGING_LIAB_ST","FQ4 2021","FQ4 2021","Currency=USD","Period=FQ","BEST_FPERIOD_OVERRIDE=FQ","FILING_STATUS=MR","SCALING_FORMAT=MLN","Sort=A","Dates=H","DateFormat=P","Fill=—","Direction=H","UseDPDF=Y")</f>
        <v>0</v>
      </c>
      <c r="O50" s="13" t="str">
        <f>_xll.BDH("ALNY US Equity","BS_DERIV_HEDGING_LIAB_ST","FQ1 2022","FQ1 2022","Currency=USD","Period=FQ","BEST_FPERIOD_OVERRIDE=FQ","FILING_STATUS=MR","SCALING_FORMAT=MLN","Sort=A","Dates=H","DateFormat=P","Fill=—","Direction=H","UseDPDF=Y")</f>
        <v>—</v>
      </c>
      <c r="P50" s="13" t="str">
        <f>_xll.BDH("ALNY US Equity","BS_DERIV_HEDGING_LIAB_ST","FQ2 2022","FQ2 2022","Currency=USD","Period=FQ","BEST_FPERIOD_OVERRIDE=FQ","FILING_STATUS=MR","SCALING_FORMAT=MLN","Sort=A","Dates=H","DateFormat=P","Fill=—","Direction=H","UseDPDF=Y")</f>
        <v>—</v>
      </c>
      <c r="Q50" s="13" t="str">
        <f>_xll.BDH("ALNY US Equity","BS_DERIV_HEDGING_LIAB_ST","FQ3 2022","FQ3 2022","Currency=USD","Period=FQ","BEST_FPERIOD_OVERRIDE=FQ","FILING_STATUS=MR","SCALING_FORMAT=MLN","Sort=A","Dates=H","DateFormat=P","Fill=—","Direction=H","UseDPDF=Y")</f>
        <v>—</v>
      </c>
      <c r="R50" s="13">
        <f>_xll.BDH("ALNY US Equity","BS_DERIV_HEDGING_LIAB_ST","FQ4 2022","FQ4 2022","Currency=USD","Period=FQ","BEST_FPERIOD_OVERRIDE=FQ","FILING_STATUS=MR","SCALING_FORMAT=MLN","Sort=A","Dates=H","DateFormat=P","Fill=—","Direction=H","UseDPDF=Y")</f>
        <v>0</v>
      </c>
      <c r="S50" s="13" t="str">
        <f>_xll.BDH("ALNY US Equity","BS_DERIV_HEDGING_LIAB_ST","FQ1 2023","FQ1 2023","Currency=USD","Period=FQ","BEST_FPERIOD_OVERRIDE=FQ","FILING_STATUS=MR","SCALING_FORMAT=MLN","Sort=A","Dates=H","DateFormat=P","Fill=—","Direction=H","UseDPDF=Y")</f>
        <v>—</v>
      </c>
      <c r="T50" s="13" t="str">
        <f>_xll.BDH("ALNY US Equity","BS_DERIV_HEDGING_LIAB_ST","FQ2 2023","FQ2 2023","Currency=USD","Period=FQ","BEST_FPERIOD_OVERRIDE=FQ","FILING_STATUS=MR","SCALING_FORMAT=MLN","Sort=A","Dates=H","DateFormat=P","Fill=—","Direction=H","UseDPDF=Y")</f>
        <v>—</v>
      </c>
      <c r="U50" s="13" t="str">
        <f>_xll.BDH("ALNY US Equity","BS_DERIV_HEDGING_LIAB_ST","FQ3 2023","FQ3 2023","Currency=USD","Period=FQ","BEST_FPERIOD_OVERRIDE=FQ","FILING_STATUS=MR","SCALING_FORMAT=MLN","Sort=A","Dates=H","DateFormat=P","Fill=—","Direction=H","UseDPDF=Y")</f>
        <v>—</v>
      </c>
      <c r="V50" s="13">
        <f>_xll.BDH("ALNY US Equity","BS_DERIV_HEDGING_LIAB_ST","FQ4 2023","FQ4 2023","Currency=USD","Period=FQ","BEST_FPERIOD_OVERRIDE=FQ","FILING_STATUS=MR","SCALING_FORMAT=MLN","Sort=A","Dates=H","DateFormat=P","Fill=—","Direction=H","UseDPDF=Y")</f>
        <v>0</v>
      </c>
      <c r="W50" s="13" t="str">
        <f>_xll.BDH("ALNY US Equity","BS_DERIV_HEDGING_LIAB_ST","FQ1 2024","FQ1 2024","Currency=USD","Period=FQ","BEST_FPERIOD_OVERRIDE=FQ","FILING_STATUS=MR","SCALING_FORMAT=MLN","Sort=A","Dates=H","DateFormat=P","Fill=—","Direction=H","UseDPDF=Y")</f>
        <v>—</v>
      </c>
      <c r="X50" s="13" t="str">
        <f>_xll.BDH("ALNY US Equity","BS_DERIV_HEDGING_LIAB_ST","FQ2 2024","FQ2 2024","Currency=USD","Period=FQ","BEST_FPERIOD_OVERRIDE=FQ","FILING_STATUS=MR","SCALING_FORMAT=MLN","Sort=A","Dates=H","DateFormat=P","Fill=—","Direction=H","UseDPDF=Y")</f>
        <v>—</v>
      </c>
      <c r="Y50" s="13" t="str">
        <f>_xll.BDH("ALNY US Equity","BS_DERIV_HEDGING_LIAB_ST","FQ3 2024","FQ3 2024","Currency=USD","Period=FQ","BEST_FPERIOD_OVERRIDE=FQ","FILING_STATUS=MR","SCALING_FORMAT=MLN","Sort=A","Dates=H","DateFormat=P","Fill=—","Direction=H","UseDPDF=Y")</f>
        <v>—</v>
      </c>
      <c r="Z50" s="13">
        <f>_xll.BDH("ALNY US Equity","BS_DERIV_HEDGING_LIAB_ST","FQ4 2024","FQ4 2024","Currency=USD","Period=FQ","BEST_FPERIOD_OVERRIDE=FQ","FILING_STATUS=MR","SCALING_FORMAT=MLN","Sort=A","Dates=H","DateFormat=P","Fill=—","Direction=H","UseDPDF=Y")</f>
        <v>0</v>
      </c>
    </row>
    <row r="51" spans="1:26" x14ac:dyDescent="0.25">
      <c r="A51" s="10" t="s">
        <v>258</v>
      </c>
      <c r="B51" s="10" t="s">
        <v>259</v>
      </c>
      <c r="C51" s="13">
        <f>_xll.BDH("ALNY US Equity","OTHER_CURRENT_LIABS_DETAILED","FQ1 2019","FQ1 2019","Currency=USD","Period=FQ","BEST_FPERIOD_OVERRIDE=FQ","FILING_STATUS=MR","SCALING_FORMAT=MLN","Sort=A","Dates=H","DateFormat=P","Fill=—","Direction=H","UseDPDF=Y")</f>
        <v>0</v>
      </c>
      <c r="D51" s="13">
        <f>_xll.BDH("ALNY US Equity","OTHER_CURRENT_LIABS_DETAILED","FQ2 2019","FQ2 2019","Currency=USD","Period=FQ","BEST_FPERIOD_OVERRIDE=FQ","FILING_STATUS=MR","SCALING_FORMAT=MLN","Sort=A","Dates=H","DateFormat=P","Fill=—","Direction=H","UseDPDF=Y")</f>
        <v>0</v>
      </c>
      <c r="E51" s="13">
        <f>_xll.BDH("ALNY US Equity","OTHER_CURRENT_LIABS_DETAILED","FQ3 2019","FQ3 2019","Currency=USD","Period=FQ","BEST_FPERIOD_OVERRIDE=FQ","FILING_STATUS=MR","SCALING_FORMAT=MLN","Sort=A","Dates=H","DateFormat=P","Fill=—","Direction=H","UseDPDF=Y")</f>
        <v>0</v>
      </c>
      <c r="F51" s="13">
        <f>_xll.BDH("ALNY US Equity","OTHER_CURRENT_LIABS_DETAILED","FQ4 2019","FQ4 2019","Currency=USD","Period=FQ","BEST_FPERIOD_OVERRIDE=FQ","FILING_STATUS=MR","SCALING_FORMAT=MLN","Sort=A","Dates=H","DateFormat=P","Fill=—","Direction=H","UseDPDF=Y")</f>
        <v>0</v>
      </c>
      <c r="G51" s="13">
        <f>_xll.BDH("ALNY US Equity","OTHER_CURRENT_LIABS_DETAILED","FQ1 2020","FQ1 2020","Currency=USD","Period=FQ","BEST_FPERIOD_OVERRIDE=FQ","FILING_STATUS=MR","SCALING_FORMAT=MLN","Sort=A","Dates=H","DateFormat=P","Fill=—","Direction=H","UseDPDF=Y")</f>
        <v>0</v>
      </c>
      <c r="H51" s="13">
        <f>_xll.BDH("ALNY US Equity","OTHER_CURRENT_LIABS_DETAILED","FQ2 2020","FQ2 2020","Currency=USD","Period=FQ","BEST_FPERIOD_OVERRIDE=FQ","FILING_STATUS=MR","SCALING_FORMAT=MLN","Sort=A","Dates=H","DateFormat=P","Fill=—","Direction=H","UseDPDF=Y")</f>
        <v>5.9569999999999999</v>
      </c>
      <c r="I51" s="13">
        <f>_xll.BDH("ALNY US Equity","OTHER_CURRENT_LIABS_DETAILED","FQ3 2020","FQ3 2020","Currency=USD","Period=FQ","BEST_FPERIOD_OVERRIDE=FQ","FILING_STATUS=MR","SCALING_FORMAT=MLN","Sort=A","Dates=H","DateFormat=P","Fill=—","Direction=H","UseDPDF=Y")</f>
        <v>10.316000000000001</v>
      </c>
      <c r="J51" s="13">
        <f>_xll.BDH("ALNY US Equity","OTHER_CURRENT_LIABS_DETAILED","FQ4 2020","FQ4 2020","Currency=USD","Period=FQ","BEST_FPERIOD_OVERRIDE=FQ","FILING_STATUS=MR","SCALING_FORMAT=MLN","Sort=A","Dates=H","DateFormat=P","Fill=—","Direction=H","UseDPDF=Y")</f>
        <v>13.316000000000001</v>
      </c>
      <c r="K51" s="13">
        <f>_xll.BDH("ALNY US Equity","OTHER_CURRENT_LIABS_DETAILED","FQ1 2021","FQ1 2021","Currency=USD","Period=FQ","BEST_FPERIOD_OVERRIDE=FQ","FILING_STATUS=MR","SCALING_FORMAT=MLN","Sort=A","Dates=H","DateFormat=P","Fill=—","Direction=H","UseDPDF=Y")</f>
        <v>13.66</v>
      </c>
      <c r="L51" s="13">
        <f>_xll.BDH("ALNY US Equity","OTHER_CURRENT_LIABS_DETAILED","FQ2 2021","FQ2 2021","Currency=USD","Period=FQ","BEST_FPERIOD_OVERRIDE=FQ","FILING_STATUS=MR","SCALING_FORMAT=MLN","Sort=A","Dates=H","DateFormat=P","Fill=—","Direction=H","UseDPDF=Y")</f>
        <v>22.876000000000001</v>
      </c>
      <c r="M51" s="13">
        <f>_xll.BDH("ALNY US Equity","OTHER_CURRENT_LIABS_DETAILED","FQ3 2021","FQ3 2021","Currency=USD","Period=FQ","BEST_FPERIOD_OVERRIDE=FQ","FILING_STATUS=MR","SCALING_FORMAT=MLN","Sort=A","Dates=H","DateFormat=P","Fill=—","Direction=H","UseDPDF=Y")</f>
        <v>26.376000000000001</v>
      </c>
      <c r="N51" s="13">
        <f>_xll.BDH("ALNY US Equity","OTHER_CURRENT_LIABS_DETAILED","FQ4 2021","FQ4 2021","Currency=USD","Period=FQ","BEST_FPERIOD_OVERRIDE=FQ","FILING_STATUS=MR","SCALING_FORMAT=MLN","Sort=A","Dates=H","DateFormat=P","Fill=—","Direction=H","UseDPDF=Y")</f>
        <v>37.079000000000001</v>
      </c>
      <c r="O51" s="13">
        <f>_xll.BDH("ALNY US Equity","OTHER_CURRENT_LIABS_DETAILED","FQ1 2022","FQ1 2022","Currency=USD","Period=FQ","BEST_FPERIOD_OVERRIDE=FQ","FILING_STATUS=MR","SCALING_FORMAT=MLN","Sort=A","Dates=H","DateFormat=P","Fill=—","Direction=H","UseDPDF=Y")</f>
        <v>21.983000000000001</v>
      </c>
      <c r="P51" s="13">
        <f>_xll.BDH("ALNY US Equity","OTHER_CURRENT_LIABS_DETAILED","FQ2 2022","FQ2 2022","Currency=USD","Period=FQ","BEST_FPERIOD_OVERRIDE=FQ","FILING_STATUS=MR","SCALING_FORMAT=MLN","Sort=A","Dates=H","DateFormat=P","Fill=—","Direction=H","UseDPDF=Y")</f>
        <v>28.495999999999999</v>
      </c>
      <c r="Q51" s="13">
        <f>_xll.BDH("ALNY US Equity","OTHER_CURRENT_LIABS_DETAILED","FQ3 2022","FQ3 2022","Currency=USD","Period=FQ","BEST_FPERIOD_OVERRIDE=FQ","FILING_STATUS=MR","SCALING_FORMAT=MLN","Sort=A","Dates=H","DateFormat=P","Fill=—","Direction=H","UseDPDF=Y")</f>
        <v>35.850999999999999</v>
      </c>
      <c r="R51" s="13">
        <f>_xll.BDH("ALNY US Equity","OTHER_CURRENT_LIABS_DETAILED","FQ4 2022","FQ4 2022","Currency=USD","Period=FQ","BEST_FPERIOD_OVERRIDE=FQ","FILING_STATUS=MR","SCALING_FORMAT=MLN","Sort=A","Dates=H","DateFormat=P","Fill=—","Direction=H","UseDPDF=Y")</f>
        <v>40.289000000000001</v>
      </c>
      <c r="S51" s="13">
        <f>_xll.BDH("ALNY US Equity","OTHER_CURRENT_LIABS_DETAILED","FQ1 2023","FQ1 2023","Currency=USD","Period=FQ","BEST_FPERIOD_OVERRIDE=FQ","FILING_STATUS=MR","SCALING_FORMAT=MLN","Sort=A","Dates=H","DateFormat=P","Fill=—","Direction=H","UseDPDF=Y")</f>
        <v>23.706</v>
      </c>
      <c r="T51" s="13">
        <f>_xll.BDH("ALNY US Equity","OTHER_CURRENT_LIABS_DETAILED","FQ2 2023","FQ2 2023","Currency=USD","Period=FQ","BEST_FPERIOD_OVERRIDE=FQ","FILING_STATUS=MR","SCALING_FORMAT=MLN","Sort=A","Dates=H","DateFormat=P","Fill=—","Direction=H","UseDPDF=Y")</f>
        <v>33.65</v>
      </c>
      <c r="U51" s="13">
        <f>_xll.BDH("ALNY US Equity","OTHER_CURRENT_LIABS_DETAILED","FQ3 2023","FQ3 2023","Currency=USD","Period=FQ","BEST_FPERIOD_OVERRIDE=FQ","FILING_STATUS=MR","SCALING_FORMAT=MLN","Sort=A","Dates=H","DateFormat=P","Fill=—","Direction=H","UseDPDF=Y")</f>
        <v>44.195</v>
      </c>
      <c r="V51" s="13">
        <f>_xll.BDH("ALNY US Equity","OTHER_CURRENT_LIABS_DETAILED","FQ4 2023","FQ4 2023","Currency=USD","Period=FQ","BEST_FPERIOD_OVERRIDE=FQ","FILING_STATUS=MR","SCALING_FORMAT=MLN","Sort=A","Dates=H","DateFormat=P","Fill=—","Direction=H","UseDPDF=Y")</f>
        <v>54.991</v>
      </c>
      <c r="W51" s="13">
        <f>_xll.BDH("ALNY US Equity","OTHER_CURRENT_LIABS_DETAILED","FQ1 2024","FQ1 2024","Currency=USD","Period=FQ","BEST_FPERIOD_OVERRIDE=FQ","FILING_STATUS=MR","SCALING_FORMAT=MLN","Sort=A","Dates=H","DateFormat=P","Fill=—","Direction=H","UseDPDF=Y")</f>
        <v>46.173999999999999</v>
      </c>
      <c r="X51" s="13">
        <f>_xll.BDH("ALNY US Equity","OTHER_CURRENT_LIABS_DETAILED","FQ2 2024","FQ2 2024","Currency=USD","Period=FQ","BEST_FPERIOD_OVERRIDE=FQ","FILING_STATUS=MR","SCALING_FORMAT=MLN","Sort=A","Dates=H","DateFormat=P","Fill=—","Direction=H","UseDPDF=Y")</f>
        <v>61.963000000000001</v>
      </c>
      <c r="Y51" s="13">
        <f>_xll.BDH("ALNY US Equity","OTHER_CURRENT_LIABS_DETAILED","FQ3 2024","FQ3 2024","Currency=USD","Period=FQ","BEST_FPERIOD_OVERRIDE=FQ","FILING_STATUS=MR","SCALING_FORMAT=MLN","Sort=A","Dates=H","DateFormat=P","Fill=—","Direction=H","UseDPDF=Y")</f>
        <v>90.516000000000005</v>
      </c>
      <c r="Z51" s="13">
        <f>_xll.BDH("ALNY US Equity","OTHER_CURRENT_LIABS_DETAILED","FQ4 2024","FQ4 2024","Currency=USD","Period=FQ","BEST_FPERIOD_OVERRIDE=FQ","FILING_STATUS=MR","SCALING_FORMAT=MLN","Sort=A","Dates=H","DateFormat=P","Fill=—","Direction=H","UseDPDF=Y")</f>
        <v>113.018</v>
      </c>
    </row>
    <row r="52" spans="1:26" x14ac:dyDescent="0.25">
      <c r="A52" s="6" t="s">
        <v>260</v>
      </c>
      <c r="B52" s="6" t="s">
        <v>261</v>
      </c>
      <c r="C52" s="16">
        <f>_xll.BDH("ALNY US Equity","BS_CUR_LIAB","FQ1 2019","FQ1 2019","Currency=USD","Period=FQ","BEST_FPERIOD_OVERRIDE=FQ","FILING_STATUS=MR","SCALING_FORMAT=MLN","Sort=A","Dates=H","DateFormat=P","Fill=—","Direction=H","UseDPDF=Y")</f>
        <v>149.16300000000001</v>
      </c>
      <c r="D52" s="16">
        <f>_xll.BDH("ALNY US Equity","BS_CUR_LIAB","FQ2 2019","FQ2 2019","Currency=USD","Period=FQ","BEST_FPERIOD_OVERRIDE=FQ","FILING_STATUS=MR","SCALING_FORMAT=MLN","Sort=A","Dates=H","DateFormat=P","Fill=—","Direction=H","UseDPDF=Y")</f>
        <v>328.60399999999998</v>
      </c>
      <c r="E52" s="16">
        <f>_xll.BDH("ALNY US Equity","BS_CUR_LIAB","FQ3 2019","FQ3 2019","Currency=USD","Period=FQ","BEST_FPERIOD_OVERRIDE=FQ","FILING_STATUS=MR","SCALING_FORMAT=MLN","Sort=A","Dates=H","DateFormat=P","Fill=—","Direction=H","UseDPDF=Y")</f>
        <v>352.86399999999998</v>
      </c>
      <c r="F52" s="16">
        <f>_xll.BDH("ALNY US Equity","BS_CUR_LIAB","FQ4 2019","FQ4 2019","Currency=USD","Period=FQ","BEST_FPERIOD_OVERRIDE=FQ","FILING_STATUS=MR","SCALING_FORMAT=MLN","Sort=A","Dates=H","DateFormat=P","Fill=—","Direction=H","UseDPDF=Y")</f>
        <v>352.59399999999999</v>
      </c>
      <c r="G52" s="16">
        <f>_xll.BDH("ALNY US Equity","BS_CUR_LIAB","FQ1 2020","FQ1 2020","Currency=USD","Period=FQ","BEST_FPERIOD_OVERRIDE=FQ","FILING_STATUS=MR","SCALING_FORMAT=MLN","Sort=A","Dates=H","DateFormat=P","Fill=—","Direction=H","UseDPDF=Y")</f>
        <v>338.791</v>
      </c>
      <c r="H52" s="16">
        <f>_xll.BDH("ALNY US Equity","BS_CUR_LIAB","FQ2 2020","FQ2 2020","Currency=USD","Period=FQ","BEST_FPERIOD_OVERRIDE=FQ","FILING_STATUS=MR","SCALING_FORMAT=MLN","Sort=A","Dates=H","DateFormat=P","Fill=—","Direction=H","UseDPDF=Y")</f>
        <v>384.30200000000002</v>
      </c>
      <c r="I52" s="16">
        <f>_xll.BDH("ALNY US Equity","BS_CUR_LIAB","FQ3 2020","FQ3 2020","Currency=USD","Period=FQ","BEST_FPERIOD_OVERRIDE=FQ","FILING_STATUS=MR","SCALING_FORMAT=MLN","Sort=A","Dates=H","DateFormat=P","Fill=—","Direction=H","UseDPDF=Y")</f>
        <v>480.24099999999999</v>
      </c>
      <c r="J52" s="16">
        <f>_xll.BDH("ALNY US Equity","BS_CUR_LIAB","FQ4 2020","FQ4 2020","Currency=USD","Period=FQ","BEST_FPERIOD_OVERRIDE=FQ","FILING_STATUS=MR","SCALING_FORMAT=MLN","Sort=A","Dates=H","DateFormat=P","Fill=—","Direction=H","UseDPDF=Y")</f>
        <v>585.27</v>
      </c>
      <c r="K52" s="16">
        <f>_xll.BDH("ALNY US Equity","BS_CUR_LIAB","FQ1 2021","FQ1 2021","Currency=USD","Period=FQ","BEST_FPERIOD_OVERRIDE=FQ","FILING_STATUS=MR","SCALING_FORMAT=MLN","Sort=A","Dates=H","DateFormat=P","Fill=—","Direction=H","UseDPDF=Y")</f>
        <v>494.82499999999999</v>
      </c>
      <c r="L52" s="16">
        <f>_xll.BDH("ALNY US Equity","BS_CUR_LIAB","FQ2 2021","FQ2 2021","Currency=USD","Period=FQ","BEST_FPERIOD_OVERRIDE=FQ","FILING_STATUS=MR","SCALING_FORMAT=MLN","Sort=A","Dates=H","DateFormat=P","Fill=—","Direction=H","UseDPDF=Y")</f>
        <v>554.64800000000002</v>
      </c>
      <c r="M52" s="16">
        <f>_xll.BDH("ALNY US Equity","BS_CUR_LIAB","FQ3 2021","FQ3 2021","Currency=USD","Period=FQ","BEST_FPERIOD_OVERRIDE=FQ","FILING_STATUS=MR","SCALING_FORMAT=MLN","Sort=A","Dates=H","DateFormat=P","Fill=—","Direction=H","UseDPDF=Y")</f>
        <v>610.65599999999995</v>
      </c>
      <c r="N52" s="16">
        <f>_xll.BDH("ALNY US Equity","BS_CUR_LIAB","FQ4 2021","FQ4 2021","Currency=USD","Period=FQ","BEST_FPERIOD_OVERRIDE=FQ","FILING_STATUS=MR","SCALING_FORMAT=MLN","Sort=A","Dates=H","DateFormat=P","Fill=—","Direction=H","UseDPDF=Y")</f>
        <v>695.71</v>
      </c>
      <c r="O52" s="16">
        <f>_xll.BDH("ALNY US Equity","BS_CUR_LIAB","FQ1 2022","FQ1 2022","Currency=USD","Period=FQ","BEST_FPERIOD_OVERRIDE=FQ","FILING_STATUS=MR","SCALING_FORMAT=MLN","Sort=A","Dates=H","DateFormat=P","Fill=—","Direction=H","UseDPDF=Y")</f>
        <v>605.96299999999997</v>
      </c>
      <c r="P52" s="16">
        <f>_xll.BDH("ALNY US Equity","BS_CUR_LIAB","FQ2 2022","FQ2 2022","Currency=USD","Period=FQ","BEST_FPERIOD_OVERRIDE=FQ","FILING_STATUS=MR","SCALING_FORMAT=MLN","Sort=A","Dates=H","DateFormat=P","Fill=—","Direction=H","UseDPDF=Y")</f>
        <v>657.68499999999995</v>
      </c>
      <c r="Q52" s="16">
        <f>_xll.BDH("ALNY US Equity","BS_CUR_LIAB","FQ3 2022","FQ3 2022","Currency=USD","Period=FQ","BEST_FPERIOD_OVERRIDE=FQ","FILING_STATUS=MR","SCALING_FORMAT=MLN","Sort=A","Dates=H","DateFormat=P","Fill=—","Direction=H","UseDPDF=Y")</f>
        <v>772.79100000000005</v>
      </c>
      <c r="R52" s="16">
        <f>_xll.BDH("ALNY US Equity","BS_CUR_LIAB","FQ4 2022","FQ4 2022","Currency=USD","Period=FQ","BEST_FPERIOD_OVERRIDE=FQ","FILING_STATUS=MR","SCALING_FORMAT=MLN","Sort=A","Dates=H","DateFormat=P","Fill=—","Direction=H","UseDPDF=Y")</f>
        <v>767.91499999999996</v>
      </c>
      <c r="S52" s="16">
        <f>_xll.BDH("ALNY US Equity","BS_CUR_LIAB","FQ1 2023","FQ1 2023","Currency=USD","Period=FQ","BEST_FPERIOD_OVERRIDE=FQ","FILING_STATUS=MR","SCALING_FORMAT=MLN","Sort=A","Dates=H","DateFormat=P","Fill=—","Direction=H","UseDPDF=Y")</f>
        <v>673.39099999999996</v>
      </c>
      <c r="T52" s="16">
        <f>_xll.BDH("ALNY US Equity","BS_CUR_LIAB","FQ2 2023","FQ2 2023","Currency=USD","Period=FQ","BEST_FPERIOD_OVERRIDE=FQ","FILING_STATUS=MR","SCALING_FORMAT=MLN","Sort=A","Dates=H","DateFormat=P","Fill=—","Direction=H","UseDPDF=Y")</f>
        <v>788.63900000000001</v>
      </c>
      <c r="U52" s="16">
        <f>_xll.BDH("ALNY US Equity","BS_CUR_LIAB","FQ3 2023","FQ3 2023","Currency=USD","Period=FQ","BEST_FPERIOD_OVERRIDE=FQ","FILING_STATUS=MR","SCALING_FORMAT=MLN","Sort=A","Dates=H","DateFormat=P","Fill=—","Direction=H","UseDPDF=Y")</f>
        <v>949.78499999999997</v>
      </c>
      <c r="V52" s="16">
        <f>_xll.BDH("ALNY US Equity","BS_CUR_LIAB","FQ4 2023","FQ4 2023","Currency=USD","Period=FQ","BEST_FPERIOD_OVERRIDE=FQ","FILING_STATUS=MR","SCALING_FORMAT=MLN","Sort=A","Dates=H","DateFormat=P","Fill=—","Direction=H","UseDPDF=Y")</f>
        <v>967.78599999999994</v>
      </c>
      <c r="W52" s="16">
        <f>_xll.BDH("ALNY US Equity","BS_CUR_LIAB","FQ1 2024","FQ1 2024","Currency=USD","Period=FQ","BEST_FPERIOD_OVERRIDE=FQ","FILING_STATUS=MR","SCALING_FORMAT=MLN","Sort=A","Dates=H","DateFormat=P","Fill=—","Direction=H","UseDPDF=Y")</f>
        <v>941.70899999999995</v>
      </c>
      <c r="X52" s="16">
        <f>_xll.BDH("ALNY US Equity","BS_CUR_LIAB","FQ2 2024","FQ2 2024","Currency=USD","Period=FQ","BEST_FPERIOD_OVERRIDE=FQ","FILING_STATUS=MR","SCALING_FORMAT=MLN","Sort=A","Dates=H","DateFormat=P","Fill=—","Direction=H","UseDPDF=Y")</f>
        <v>1055.251</v>
      </c>
      <c r="Y52" s="16">
        <f>_xll.BDH("ALNY US Equity","BS_CUR_LIAB","FQ3 2024","FQ3 2024","Currency=USD","Period=FQ","BEST_FPERIOD_OVERRIDE=FQ","FILING_STATUS=MR","SCALING_FORMAT=MLN","Sort=A","Dates=H","DateFormat=P","Fill=—","Direction=H","UseDPDF=Y")</f>
        <v>1220.663</v>
      </c>
      <c r="Z52" s="16">
        <f>_xll.BDH("ALNY US Equity","BS_CUR_LIAB","FQ4 2024","FQ4 2024","Currency=USD","Period=FQ","BEST_FPERIOD_OVERRIDE=FQ","FILING_STATUS=MR","SCALING_FORMAT=MLN","Sort=A","Dates=H","DateFormat=P","Fill=—","Direction=H","UseDPDF=Y")</f>
        <v>1186.2719999999999</v>
      </c>
    </row>
    <row r="53" spans="1:26" x14ac:dyDescent="0.25">
      <c r="A53" s="10" t="s">
        <v>262</v>
      </c>
      <c r="B53" s="10" t="s">
        <v>263</v>
      </c>
      <c r="C53" s="13">
        <f>_xll.BDH("ALNY US Equity","BS_LT_BORROW","FQ1 2019","FQ1 2019","Currency=USD","Period=FQ","BEST_FPERIOD_OVERRIDE=FQ","FILING_STATUS=MR","SCALING_FORMAT=MLN","Sort=A","Dates=H","DateFormat=P","Fill=—","Direction=H","UseDPDF=Y")</f>
        <v>312.3</v>
      </c>
      <c r="D53" s="13">
        <f>_xll.BDH("ALNY US Equity","BS_LT_BORROW","FQ2 2019","FQ2 2019","Currency=USD","Period=FQ","BEST_FPERIOD_OVERRIDE=FQ","FILING_STATUS=MR","SCALING_FORMAT=MLN","Sort=A","Dates=H","DateFormat=P","Fill=—","Direction=H","UseDPDF=Y")</f>
        <v>307.21100000000001</v>
      </c>
      <c r="E53" s="13">
        <f>_xll.BDH("ALNY US Equity","BS_LT_BORROW","FQ3 2019","FQ3 2019","Currency=USD","Period=FQ","BEST_FPERIOD_OVERRIDE=FQ","FILING_STATUS=MR","SCALING_FORMAT=MLN","Sort=A","Dates=H","DateFormat=P","Fill=—","Direction=H","UseDPDF=Y")</f>
        <v>276.45600000000002</v>
      </c>
      <c r="F53" s="13">
        <f>_xll.BDH("ALNY US Equity","BS_LT_BORROW","FQ4 2019","FQ4 2019","Currency=USD","Period=FQ","BEST_FPERIOD_OVERRIDE=FQ","FILING_STATUS=MR","SCALING_FORMAT=MLN","Sort=A","Dates=H","DateFormat=P","Fill=—","Direction=H","UseDPDF=Y")</f>
        <v>276.13499999999999</v>
      </c>
      <c r="G53" s="13">
        <f>_xll.BDH("ALNY US Equity","BS_LT_BORROW","FQ1 2020","FQ1 2020","Currency=USD","Period=FQ","BEST_FPERIOD_OVERRIDE=FQ","FILING_STATUS=MR","SCALING_FORMAT=MLN","Sort=A","Dates=H","DateFormat=P","Fill=—","Direction=H","UseDPDF=Y")</f>
        <v>275.78199999999998</v>
      </c>
      <c r="H53" s="13">
        <f>_xll.BDH("ALNY US Equity","BS_LT_BORROW","FQ2 2020","FQ2 2020","Currency=USD","Period=FQ","BEST_FPERIOD_OVERRIDE=FQ","FILING_STATUS=MR","SCALING_FORMAT=MLN","Sort=A","Dates=H","DateFormat=P","Fill=—","Direction=H","UseDPDF=Y")</f>
        <v>281.61799999999999</v>
      </c>
      <c r="I53" s="13">
        <f>_xll.BDH("ALNY US Equity","BS_LT_BORROW","FQ3 2020","FQ3 2020","Currency=USD","Period=FQ","BEST_FPERIOD_OVERRIDE=FQ","FILING_STATUS=MR","SCALING_FORMAT=MLN","Sort=A","Dates=H","DateFormat=P","Fill=—","Direction=H","UseDPDF=Y")</f>
        <v>297.262</v>
      </c>
      <c r="J53" s="13">
        <f>_xll.BDH("ALNY US Equity","BS_LT_BORROW","FQ4 2020","FQ4 2020","Currency=USD","Period=FQ","BEST_FPERIOD_OVERRIDE=FQ","FILING_STATUS=MR","SCALING_FORMAT=MLN","Sort=A","Dates=H","DateFormat=P","Fill=—","Direction=H","UseDPDF=Y")</f>
        <v>484.31700000000001</v>
      </c>
      <c r="K53" s="13">
        <f>_xll.BDH("ALNY US Equity","BS_LT_BORROW","FQ1 2021","FQ1 2021","Currency=USD","Period=FQ","BEST_FPERIOD_OVERRIDE=FQ","FILING_STATUS=MR","SCALING_FORMAT=MLN","Sort=A","Dates=H","DateFormat=P","Fill=—","Direction=H","UseDPDF=Y")</f>
        <v>479.60500000000002</v>
      </c>
      <c r="L53" s="13">
        <f>_xll.BDH("ALNY US Equity","BS_LT_BORROW","FQ2 2021","FQ2 2021","Currency=USD","Period=FQ","BEST_FPERIOD_OVERRIDE=FQ","FILING_STATUS=MR","SCALING_FORMAT=MLN","Sort=A","Dates=H","DateFormat=P","Fill=—","Direction=H","UseDPDF=Y")</f>
        <v>721.71</v>
      </c>
      <c r="M53" s="13">
        <f>_xll.BDH("ALNY US Equity","BS_LT_BORROW","FQ3 2021","FQ3 2021","Currency=USD","Period=FQ","BEST_FPERIOD_OVERRIDE=FQ","FILING_STATUS=MR","SCALING_FORMAT=MLN","Sort=A","Dates=H","DateFormat=P","Fill=—","Direction=H","UseDPDF=Y")</f>
        <v>719.82899999999995</v>
      </c>
      <c r="N53" s="13">
        <f>_xll.BDH("ALNY US Equity","BS_LT_BORROW","FQ4 2021","FQ4 2021","Currency=USD","Period=FQ","BEST_FPERIOD_OVERRIDE=FQ","FILING_STATUS=MR","SCALING_FORMAT=MLN","Sort=A","Dates=H","DateFormat=P","Fill=—","Direction=H","UseDPDF=Y")</f>
        <v>957.04399999999998</v>
      </c>
      <c r="O53" s="13">
        <f>_xll.BDH("ALNY US Equity","BS_LT_BORROW","FQ1 2022","FQ1 2022","Currency=USD","Period=FQ","BEST_FPERIOD_OVERRIDE=FQ","FILING_STATUS=MR","SCALING_FORMAT=MLN","Sort=A","Dates=H","DateFormat=P","Fill=—","Direction=H","UseDPDF=Y")</f>
        <v>954.09799999999996</v>
      </c>
      <c r="P53" s="13">
        <f>_xll.BDH("ALNY US Equity","BS_LT_BORROW","FQ2 2022","FQ2 2022","Currency=USD","Period=FQ","BEST_FPERIOD_OVERRIDE=FQ","FILING_STATUS=MR","SCALING_FORMAT=MLN","Sort=A","Dates=H","DateFormat=P","Fill=—","Direction=H","UseDPDF=Y")</f>
        <v>949.73900000000003</v>
      </c>
      <c r="Q53" s="13">
        <f>_xll.BDH("ALNY US Equity","BS_LT_BORROW","FQ3 2022","FQ3 2022","Currency=USD","Period=FQ","BEST_FPERIOD_OVERRIDE=FQ","FILING_STATUS=MR","SCALING_FORMAT=MLN","Sort=A","Dates=H","DateFormat=P","Fill=—","Direction=H","UseDPDF=Y")</f>
        <v>1498.1959999999999</v>
      </c>
      <c r="R53" s="13">
        <f>_xll.BDH("ALNY US Equity","BS_LT_BORROW","FQ4 2022","FQ4 2022","Currency=USD","Period=FQ","BEST_FPERIOD_OVERRIDE=FQ","FILING_STATUS=MR","SCALING_FORMAT=MLN","Sort=A","Dates=H","DateFormat=P","Fill=—","Direction=H","UseDPDF=Y")</f>
        <v>1278.2809999999999</v>
      </c>
      <c r="S53" s="13">
        <f>_xll.BDH("ALNY US Equity","BS_LT_BORROW","FQ1 2023","FQ1 2023","Currency=USD","Period=FQ","BEST_FPERIOD_OVERRIDE=FQ","FILING_STATUS=MR","SCALING_FORMAT=MLN","Sort=A","Dates=H","DateFormat=P","Fill=—","Direction=H","UseDPDF=Y")</f>
        <v>1277.2860000000001</v>
      </c>
      <c r="T53" s="13">
        <f>_xll.BDH("ALNY US Equity","BS_LT_BORROW","FQ2 2023","FQ2 2023","Currency=USD","Period=FQ","BEST_FPERIOD_OVERRIDE=FQ","FILING_STATUS=MR","SCALING_FORMAT=MLN","Sort=A","Dates=H","DateFormat=P","Fill=—","Direction=H","UseDPDF=Y")</f>
        <v>1272.259</v>
      </c>
      <c r="U53" s="13">
        <f>_xll.BDH("ALNY US Equity","BS_LT_BORROW","FQ3 2023","FQ3 2023","Currency=USD","Period=FQ","BEST_FPERIOD_OVERRIDE=FQ","FILING_STATUS=MR","SCALING_FORMAT=MLN","Sort=A","Dates=H","DateFormat=P","Fill=—","Direction=H","UseDPDF=Y")</f>
        <v>1267.52</v>
      </c>
      <c r="V53" s="13">
        <f>_xll.BDH("ALNY US Equity","BS_LT_BORROW","FQ4 2023","FQ4 2023","Currency=USD","Period=FQ","BEST_FPERIOD_OVERRIDE=FQ","FILING_STATUS=MR","SCALING_FORMAT=MLN","Sort=A","Dates=H","DateFormat=P","Fill=—","Direction=H","UseDPDF=Y")</f>
        <v>1263.877</v>
      </c>
      <c r="W53" s="13">
        <f>_xll.BDH("ALNY US Equity","BS_LT_BORROW","FQ1 2024","FQ1 2024","Currency=USD","Period=FQ","BEST_FPERIOD_OVERRIDE=FQ","FILING_STATUS=MR","SCALING_FORMAT=MLN","Sort=A","Dates=H","DateFormat=P","Fill=—","Direction=H","UseDPDF=Y")</f>
        <v>1259.5609999999999</v>
      </c>
      <c r="X53" s="13">
        <f>_xll.BDH("ALNY US Equity","BS_LT_BORROW","FQ2 2024","FQ2 2024","Currency=USD","Period=FQ","BEST_FPERIOD_OVERRIDE=FQ","FILING_STATUS=MR","SCALING_FORMAT=MLN","Sort=A","Dates=H","DateFormat=P","Fill=—","Direction=H","UseDPDF=Y")</f>
        <v>2604.62</v>
      </c>
      <c r="Y53" s="13">
        <f>_xll.BDH("ALNY US Equity","BS_LT_BORROW","FQ3 2024","FQ3 2024","Currency=USD","Period=FQ","BEST_FPERIOD_OVERRIDE=FQ","FILING_STATUS=MR","SCALING_FORMAT=MLN","Sort=A","Dates=H","DateFormat=P","Fill=—","Direction=H","UseDPDF=Y")</f>
        <v>1259.684</v>
      </c>
      <c r="Z53" s="13">
        <f>_xll.BDH("ALNY US Equity","BS_LT_BORROW","FQ4 2024","FQ4 2024","Currency=USD","Period=FQ","BEST_FPERIOD_OVERRIDE=FQ","FILING_STATUS=MR","SCALING_FORMAT=MLN","Sort=A","Dates=H","DateFormat=P","Fill=—","Direction=H","UseDPDF=Y")</f>
        <v>1254.162</v>
      </c>
    </row>
    <row r="54" spans="1:26" x14ac:dyDescent="0.25">
      <c r="A54" s="10" t="s">
        <v>264</v>
      </c>
      <c r="B54" s="10" t="s">
        <v>265</v>
      </c>
      <c r="C54" s="13">
        <f>_xll.BDH("ALNY US Equity","LONG_TERM_BORROWINGS_DETAILED","FQ1 2019","FQ1 2019","Currency=USD","Period=FQ","BEST_FPERIOD_OVERRIDE=FQ","FILING_STATUS=MR","SCALING_FORMAT=MLN","Sort=A","Dates=H","DateFormat=P","Fill=—","Direction=H","UseDPDF=Y")</f>
        <v>30</v>
      </c>
      <c r="D54" s="13">
        <f>_xll.BDH("ALNY US Equity","LONG_TERM_BORROWINGS_DETAILED","FQ2 2019","FQ2 2019","Currency=USD","Period=FQ","BEST_FPERIOD_OVERRIDE=FQ","FILING_STATUS=MR","SCALING_FORMAT=MLN","Sort=A","Dates=H","DateFormat=P","Fill=—","Direction=H","UseDPDF=Y")</f>
        <v>30</v>
      </c>
      <c r="E54" s="13">
        <f>_xll.BDH("ALNY US Equity","LONG_TERM_BORROWINGS_DETAILED","FQ3 2019","FQ3 2019","Currency=USD","Period=FQ","BEST_FPERIOD_OVERRIDE=FQ","FILING_STATUS=MR","SCALING_FORMAT=MLN","Sort=A","Dates=H","DateFormat=P","Fill=—","Direction=H","UseDPDF=Y")</f>
        <v>0</v>
      </c>
      <c r="F54" s="13">
        <f>_xll.BDH("ALNY US Equity","LONG_TERM_BORROWINGS_DETAILED","FQ4 2019","FQ4 2019","Currency=USD","Period=FQ","BEST_FPERIOD_OVERRIDE=FQ","FILING_STATUS=MR","SCALING_FORMAT=MLN","Sort=A","Dates=H","DateFormat=P","Fill=—","Direction=H","UseDPDF=Y")</f>
        <v>0</v>
      </c>
      <c r="G54" s="13">
        <f>_xll.BDH("ALNY US Equity","LONG_TERM_BORROWINGS_DETAILED","FQ1 2020","FQ1 2020","Currency=USD","Period=FQ","BEST_FPERIOD_OVERRIDE=FQ","FILING_STATUS=MR","SCALING_FORMAT=MLN","Sort=A","Dates=H","DateFormat=P","Fill=—","Direction=H","UseDPDF=Y")</f>
        <v>0</v>
      </c>
      <c r="H54" s="13">
        <f>_xll.BDH("ALNY US Equity","LONG_TERM_BORROWINGS_DETAILED","FQ2 2020","FQ2 2020","Currency=USD","Period=FQ","BEST_FPERIOD_OVERRIDE=FQ","FILING_STATUS=MR","SCALING_FORMAT=MLN","Sort=A","Dates=H","DateFormat=P","Fill=—","Direction=H","UseDPDF=Y")</f>
        <v>0</v>
      </c>
      <c r="I54" s="13">
        <f>_xll.BDH("ALNY US Equity","LONG_TERM_BORROWINGS_DETAILED","FQ3 2020","FQ3 2020","Currency=USD","Period=FQ","BEST_FPERIOD_OVERRIDE=FQ","FILING_STATUS=MR","SCALING_FORMAT=MLN","Sort=A","Dates=H","DateFormat=P","Fill=—","Direction=H","UseDPDF=Y")</f>
        <v>0</v>
      </c>
      <c r="J54" s="13">
        <f>_xll.BDH("ALNY US Equity","LONG_TERM_BORROWINGS_DETAILED","FQ4 2020","FQ4 2020","Currency=USD","Period=FQ","BEST_FPERIOD_OVERRIDE=FQ","FILING_STATUS=MR","SCALING_FORMAT=MLN","Sort=A","Dates=H","DateFormat=P","Fill=—","Direction=H","UseDPDF=Y")</f>
        <v>191.27799999999999</v>
      </c>
      <c r="K54" s="13">
        <f>_xll.BDH("ALNY US Equity","LONG_TERM_BORROWINGS_DETAILED","FQ1 2021","FQ1 2021","Currency=USD","Period=FQ","BEST_FPERIOD_OVERRIDE=FQ","FILING_STATUS=MR","SCALING_FORMAT=MLN","Sort=A","Dates=H","DateFormat=P","Fill=—","Direction=H","UseDPDF=Y")</f>
        <v>191.59</v>
      </c>
      <c r="L54" s="13">
        <f>_xll.BDH("ALNY US Equity","LONG_TERM_BORROWINGS_DETAILED","FQ2 2021","FQ2 2021","Currency=USD","Period=FQ","BEST_FPERIOD_OVERRIDE=FQ","FILING_STATUS=MR","SCALING_FORMAT=MLN","Sort=A","Dates=H","DateFormat=P","Fill=—","Direction=H","UseDPDF=Y")</f>
        <v>433.15100000000001</v>
      </c>
      <c r="M54" s="13">
        <f>_xll.BDH("ALNY US Equity","LONG_TERM_BORROWINGS_DETAILED","FQ3 2021","FQ3 2021","Currency=USD","Period=FQ","BEST_FPERIOD_OVERRIDE=FQ","FILING_STATUS=MR","SCALING_FORMAT=MLN","Sort=A","Dates=H","DateFormat=P","Fill=—","Direction=H","UseDPDF=Y")</f>
        <v>433.79899999999998</v>
      </c>
      <c r="N54" s="13">
        <f>_xll.BDH("ALNY US Equity","LONG_TERM_BORROWINGS_DETAILED","FQ4 2021","FQ4 2021","Currency=USD","Period=FQ","BEST_FPERIOD_OVERRIDE=FQ","FILING_STATUS=MR","SCALING_FORMAT=MLN","Sort=A","Dates=H","DateFormat=P","Fill=—","Direction=H","UseDPDF=Y")</f>
        <v>675.697</v>
      </c>
      <c r="O54" s="13">
        <f>_xll.BDH("ALNY US Equity","LONG_TERM_BORROWINGS_DETAILED","FQ1 2022","FQ1 2022","Currency=USD","Period=FQ","BEST_FPERIOD_OVERRIDE=FQ","FILING_STATUS=MR","SCALING_FORMAT=MLN","Sort=A","Dates=H","DateFormat=P","Fill=—","Direction=H","UseDPDF=Y")</f>
        <v>676.71</v>
      </c>
      <c r="P54" s="13">
        <f>_xll.BDH("ALNY US Equity","LONG_TERM_BORROWINGS_DETAILED","FQ2 2022","FQ2 2022","Currency=USD","Period=FQ","BEST_FPERIOD_OVERRIDE=FQ","FILING_STATUS=MR","SCALING_FORMAT=MLN","Sort=A","Dates=H","DateFormat=P","Fill=—","Direction=H","UseDPDF=Y")</f>
        <v>677.72299999999996</v>
      </c>
      <c r="Q54" s="13">
        <f>_xll.BDH("ALNY US Equity","LONG_TERM_BORROWINGS_DETAILED","FQ3 2022","FQ3 2022","Currency=USD","Period=FQ","BEST_FPERIOD_OVERRIDE=FQ","FILING_STATUS=MR","SCALING_FORMAT=MLN","Sort=A","Dates=H","DateFormat=P","Fill=—","Direction=H","UseDPDF=Y")</f>
        <v>1231.873</v>
      </c>
      <c r="R54" s="13">
        <f>_xll.BDH("ALNY US Equity","LONG_TERM_BORROWINGS_DETAILED","FQ4 2022","FQ4 2022","Currency=USD","Period=FQ","BEST_FPERIOD_OVERRIDE=FQ","FILING_STATUS=MR","SCALING_FORMAT=MLN","Sort=A","Dates=H","DateFormat=P","Fill=—","Direction=H","UseDPDF=Y")</f>
        <v>1016.942</v>
      </c>
      <c r="S54" s="13">
        <f>_xll.BDH("ALNY US Equity","LONG_TERM_BORROWINGS_DETAILED","FQ1 2023","FQ1 2023","Currency=USD","Period=FQ","BEST_FPERIOD_OVERRIDE=FQ","FILING_STATUS=MR","SCALING_FORMAT=MLN","Sort=A","Dates=H","DateFormat=P","Fill=—","Direction=H","UseDPDF=Y")</f>
        <v>1017.8869999999999</v>
      </c>
      <c r="T54" s="13">
        <f>_xll.BDH("ALNY US Equity","LONG_TERM_BORROWINGS_DETAILED","FQ2 2023","FQ2 2023","Currency=USD","Period=FQ","BEST_FPERIOD_OVERRIDE=FQ","FILING_STATUS=MR","SCALING_FORMAT=MLN","Sort=A","Dates=H","DateFormat=P","Fill=—","Direction=H","UseDPDF=Y")</f>
        <v>1018.843</v>
      </c>
      <c r="U54" s="13">
        <f>_xll.BDH("ALNY US Equity","LONG_TERM_BORROWINGS_DETAILED","FQ3 2023","FQ3 2023","Currency=USD","Period=FQ","BEST_FPERIOD_OVERRIDE=FQ","FILING_STATUS=MR","SCALING_FORMAT=MLN","Sort=A","Dates=H","DateFormat=P","Fill=—","Direction=H","UseDPDF=Y")</f>
        <v>1019.809</v>
      </c>
      <c r="V54" s="13">
        <f>_xll.BDH("ALNY US Equity","LONG_TERM_BORROWINGS_DETAILED","FQ4 2023","FQ4 2023","Currency=USD","Period=FQ","BEST_FPERIOD_OVERRIDE=FQ","FILING_STATUS=MR","SCALING_FORMAT=MLN","Sort=A","Dates=H","DateFormat=P","Fill=—","Direction=H","UseDPDF=Y")</f>
        <v>1020.776</v>
      </c>
      <c r="W54" s="13">
        <f>_xll.BDH("ALNY US Equity","LONG_TERM_BORROWINGS_DETAILED","FQ1 2024","FQ1 2024","Currency=USD","Period=FQ","BEST_FPERIOD_OVERRIDE=FQ","FILING_STATUS=MR","SCALING_FORMAT=MLN","Sort=A","Dates=H","DateFormat=P","Fill=—","Direction=H","UseDPDF=Y")</f>
        <v>1021.732</v>
      </c>
      <c r="X54" s="13">
        <f>_xll.BDH("ALNY US Equity","LONG_TERM_BORROWINGS_DETAILED","FQ2 2024","FQ2 2024","Currency=USD","Period=FQ","BEST_FPERIOD_OVERRIDE=FQ","FILING_STATUS=MR","SCALING_FORMAT=MLN","Sort=A","Dates=H","DateFormat=P","Fill=—","Direction=H","UseDPDF=Y")</f>
        <v>2365.268</v>
      </c>
      <c r="Y54" s="13">
        <f>_xll.BDH("ALNY US Equity","LONG_TERM_BORROWINGS_DETAILED","FQ3 2024","FQ3 2024","Currency=USD","Period=FQ","BEST_FPERIOD_OVERRIDE=FQ","FILING_STATUS=MR","SCALING_FORMAT=MLN","Sort=A","Dates=H","DateFormat=P","Fill=—","Direction=H","UseDPDF=Y")</f>
        <v>1023.654</v>
      </c>
      <c r="Z54" s="13">
        <f>_xll.BDH("ALNY US Equity","LONG_TERM_BORROWINGS_DETAILED","FQ4 2024","FQ4 2024","Currency=USD","Period=FQ","BEST_FPERIOD_OVERRIDE=FQ","FILING_STATUS=MR","SCALING_FORMAT=MLN","Sort=A","Dates=H","DateFormat=P","Fill=—","Direction=H","UseDPDF=Y")</f>
        <v>1024.6210000000001</v>
      </c>
    </row>
    <row r="55" spans="1:26" x14ac:dyDescent="0.25">
      <c r="A55" s="10" t="s">
        <v>266</v>
      </c>
      <c r="B55" s="10" t="s">
        <v>267</v>
      </c>
      <c r="C55" s="13">
        <f>_xll.BDH("ALNY US Equity","LT_CAPITALIZED_LEASE_LIABILITIES","FQ1 2019","FQ1 2019","Currency=USD","Period=FQ","BEST_FPERIOD_OVERRIDE=FQ","FILING_STATUS=MR","SCALING_FORMAT=MLN","Sort=A","Dates=H","DateFormat=P","Fill=—","Direction=H","UseDPDF=Y")</f>
        <v>282.3</v>
      </c>
      <c r="D55" s="13">
        <f>_xll.BDH("ALNY US Equity","LT_CAPITALIZED_LEASE_LIABILITIES","FQ2 2019","FQ2 2019","Currency=USD","Period=FQ","BEST_FPERIOD_OVERRIDE=FQ","FILING_STATUS=MR","SCALING_FORMAT=MLN","Sort=A","Dates=H","DateFormat=P","Fill=—","Direction=H","UseDPDF=Y")</f>
        <v>277.21100000000001</v>
      </c>
      <c r="E55" s="13">
        <f>_xll.BDH("ALNY US Equity","LT_CAPITALIZED_LEASE_LIABILITIES","FQ3 2019","FQ3 2019","Currency=USD","Period=FQ","BEST_FPERIOD_OVERRIDE=FQ","FILING_STATUS=MR","SCALING_FORMAT=MLN","Sort=A","Dates=H","DateFormat=P","Fill=—","Direction=H","UseDPDF=Y")</f>
        <v>276.45600000000002</v>
      </c>
      <c r="F55" s="13">
        <f>_xll.BDH("ALNY US Equity","LT_CAPITALIZED_LEASE_LIABILITIES","FQ4 2019","FQ4 2019","Currency=USD","Period=FQ","BEST_FPERIOD_OVERRIDE=FQ","FILING_STATUS=MR","SCALING_FORMAT=MLN","Sort=A","Dates=H","DateFormat=P","Fill=—","Direction=H","UseDPDF=Y")</f>
        <v>276.13499999999999</v>
      </c>
      <c r="G55" s="13">
        <f>_xll.BDH("ALNY US Equity","LT_CAPITALIZED_LEASE_LIABILITIES","FQ1 2020","FQ1 2020","Currency=USD","Period=FQ","BEST_FPERIOD_OVERRIDE=FQ","FILING_STATUS=MR","SCALING_FORMAT=MLN","Sort=A","Dates=H","DateFormat=P","Fill=—","Direction=H","UseDPDF=Y")</f>
        <v>275.78199999999998</v>
      </c>
      <c r="H55" s="13">
        <f>_xll.BDH("ALNY US Equity","LT_CAPITALIZED_LEASE_LIABILITIES","FQ2 2020","FQ2 2020","Currency=USD","Period=FQ","BEST_FPERIOD_OVERRIDE=FQ","FILING_STATUS=MR","SCALING_FORMAT=MLN","Sort=A","Dates=H","DateFormat=P","Fill=—","Direction=H","UseDPDF=Y")</f>
        <v>281.61799999999999</v>
      </c>
      <c r="I55" s="13">
        <f>_xll.BDH("ALNY US Equity","LT_CAPITALIZED_LEASE_LIABILITIES","FQ3 2020","FQ3 2020","Currency=USD","Period=FQ","BEST_FPERIOD_OVERRIDE=FQ","FILING_STATUS=MR","SCALING_FORMAT=MLN","Sort=A","Dates=H","DateFormat=P","Fill=—","Direction=H","UseDPDF=Y")</f>
        <v>297.262</v>
      </c>
      <c r="J55" s="13">
        <f>_xll.BDH("ALNY US Equity","LT_CAPITALIZED_LEASE_LIABILITIES","FQ4 2020","FQ4 2020","Currency=USD","Period=FQ","BEST_FPERIOD_OVERRIDE=FQ","FILING_STATUS=MR","SCALING_FORMAT=MLN","Sort=A","Dates=H","DateFormat=P","Fill=—","Direction=H","UseDPDF=Y")</f>
        <v>293.03899999999999</v>
      </c>
      <c r="K55" s="13">
        <f>_xll.BDH("ALNY US Equity","LT_CAPITALIZED_LEASE_LIABILITIES","FQ1 2021","FQ1 2021","Currency=USD","Period=FQ","BEST_FPERIOD_OVERRIDE=FQ","FILING_STATUS=MR","SCALING_FORMAT=MLN","Sort=A","Dates=H","DateFormat=P","Fill=—","Direction=H","UseDPDF=Y")</f>
        <v>288.01499999999999</v>
      </c>
      <c r="L55" s="13">
        <f>_xll.BDH("ALNY US Equity","LT_CAPITALIZED_LEASE_LIABILITIES","FQ2 2021","FQ2 2021","Currency=USD","Period=FQ","BEST_FPERIOD_OVERRIDE=FQ","FILING_STATUS=MR","SCALING_FORMAT=MLN","Sort=A","Dates=H","DateFormat=P","Fill=—","Direction=H","UseDPDF=Y")</f>
        <v>288.55900000000003</v>
      </c>
      <c r="M55" s="13">
        <f>_xll.BDH("ALNY US Equity","LT_CAPITALIZED_LEASE_LIABILITIES","FQ3 2021","FQ3 2021","Currency=USD","Period=FQ","BEST_FPERIOD_OVERRIDE=FQ","FILING_STATUS=MR","SCALING_FORMAT=MLN","Sort=A","Dates=H","DateFormat=P","Fill=—","Direction=H","UseDPDF=Y")</f>
        <v>286.02999999999997</v>
      </c>
      <c r="N55" s="13">
        <f>_xll.BDH("ALNY US Equity","LT_CAPITALIZED_LEASE_LIABILITIES","FQ4 2021","FQ4 2021","Currency=USD","Period=FQ","BEST_FPERIOD_OVERRIDE=FQ","FILING_STATUS=MR","SCALING_FORMAT=MLN","Sort=A","Dates=H","DateFormat=P","Fill=—","Direction=H","UseDPDF=Y")</f>
        <v>281.34699999999998</v>
      </c>
      <c r="O55" s="13">
        <f>_xll.BDH("ALNY US Equity","LT_CAPITALIZED_LEASE_LIABILITIES","FQ1 2022","FQ1 2022","Currency=USD","Period=FQ","BEST_FPERIOD_OVERRIDE=FQ","FILING_STATUS=MR","SCALING_FORMAT=MLN","Sort=A","Dates=H","DateFormat=P","Fill=—","Direction=H","UseDPDF=Y")</f>
        <v>277.38799999999998</v>
      </c>
      <c r="P55" s="13">
        <f>_xll.BDH("ALNY US Equity","LT_CAPITALIZED_LEASE_LIABILITIES","FQ2 2022","FQ2 2022","Currency=USD","Period=FQ","BEST_FPERIOD_OVERRIDE=FQ","FILING_STATUS=MR","SCALING_FORMAT=MLN","Sort=A","Dates=H","DateFormat=P","Fill=—","Direction=H","UseDPDF=Y")</f>
        <v>272.01600000000002</v>
      </c>
      <c r="Q55" s="13">
        <f>_xll.BDH("ALNY US Equity","LT_CAPITALIZED_LEASE_LIABILITIES","FQ3 2022","FQ3 2022","Currency=USD","Period=FQ","BEST_FPERIOD_OVERRIDE=FQ","FILING_STATUS=MR","SCALING_FORMAT=MLN","Sort=A","Dates=H","DateFormat=P","Fill=—","Direction=H","UseDPDF=Y")</f>
        <v>266.32299999999998</v>
      </c>
      <c r="R55" s="13">
        <f>_xll.BDH("ALNY US Equity","LT_CAPITALIZED_LEASE_LIABILITIES","FQ4 2022","FQ4 2022","Currency=USD","Period=FQ","BEST_FPERIOD_OVERRIDE=FQ","FILING_STATUS=MR","SCALING_FORMAT=MLN","Sort=A","Dates=H","DateFormat=P","Fill=—","Direction=H","UseDPDF=Y")</f>
        <v>261.339</v>
      </c>
      <c r="S55" s="13">
        <f>_xll.BDH("ALNY US Equity","LT_CAPITALIZED_LEASE_LIABILITIES","FQ1 2023","FQ1 2023","Currency=USD","Period=FQ","BEST_FPERIOD_OVERRIDE=FQ","FILING_STATUS=MR","SCALING_FORMAT=MLN","Sort=A","Dates=H","DateFormat=P","Fill=—","Direction=H","UseDPDF=Y")</f>
        <v>259.399</v>
      </c>
      <c r="T55" s="13">
        <f>_xll.BDH("ALNY US Equity","LT_CAPITALIZED_LEASE_LIABILITIES","FQ2 2023","FQ2 2023","Currency=USD","Period=FQ","BEST_FPERIOD_OVERRIDE=FQ","FILING_STATUS=MR","SCALING_FORMAT=MLN","Sort=A","Dates=H","DateFormat=P","Fill=—","Direction=H","UseDPDF=Y")</f>
        <v>253.416</v>
      </c>
      <c r="U55" s="13">
        <f>_xll.BDH("ALNY US Equity","LT_CAPITALIZED_LEASE_LIABILITIES","FQ3 2023","FQ3 2023","Currency=USD","Period=FQ","BEST_FPERIOD_OVERRIDE=FQ","FILING_STATUS=MR","SCALING_FORMAT=MLN","Sort=A","Dates=H","DateFormat=P","Fill=—","Direction=H","UseDPDF=Y")</f>
        <v>247.71100000000001</v>
      </c>
      <c r="V55" s="13">
        <f>_xll.BDH("ALNY US Equity","LT_CAPITALIZED_LEASE_LIABILITIES","FQ4 2023","FQ4 2023","Currency=USD","Period=FQ","BEST_FPERIOD_OVERRIDE=FQ","FILING_STATUS=MR","SCALING_FORMAT=MLN","Sort=A","Dates=H","DateFormat=P","Fill=—","Direction=H","UseDPDF=Y")</f>
        <v>243.101</v>
      </c>
      <c r="W55" s="13">
        <f>_xll.BDH("ALNY US Equity","LT_CAPITALIZED_LEASE_LIABILITIES","FQ1 2024","FQ1 2024","Currency=USD","Period=FQ","BEST_FPERIOD_OVERRIDE=FQ","FILING_STATUS=MR","SCALING_FORMAT=MLN","Sort=A","Dates=H","DateFormat=P","Fill=—","Direction=H","UseDPDF=Y")</f>
        <v>237.82900000000001</v>
      </c>
      <c r="X55" s="13">
        <f>_xll.BDH("ALNY US Equity","LT_CAPITALIZED_LEASE_LIABILITIES","FQ2 2024","FQ2 2024","Currency=USD","Period=FQ","BEST_FPERIOD_OVERRIDE=FQ","FILING_STATUS=MR","SCALING_FORMAT=MLN","Sort=A","Dates=H","DateFormat=P","Fill=—","Direction=H","UseDPDF=Y")</f>
        <v>239.352</v>
      </c>
      <c r="Y55" s="13">
        <f>_xll.BDH("ALNY US Equity","LT_CAPITALIZED_LEASE_LIABILITIES","FQ3 2024","FQ3 2024","Currency=USD","Period=FQ","BEST_FPERIOD_OVERRIDE=FQ","FILING_STATUS=MR","SCALING_FORMAT=MLN","Sort=A","Dates=H","DateFormat=P","Fill=—","Direction=H","UseDPDF=Y")</f>
        <v>236.03</v>
      </c>
      <c r="Z55" s="13">
        <f>_xll.BDH("ALNY US Equity","LT_CAPITALIZED_LEASE_LIABILITIES","FQ4 2024","FQ4 2024","Currency=USD","Period=FQ","BEST_FPERIOD_OVERRIDE=FQ","FILING_STATUS=MR","SCALING_FORMAT=MLN","Sort=A","Dates=H","DateFormat=P","Fill=—","Direction=H","UseDPDF=Y")</f>
        <v>229.541</v>
      </c>
    </row>
    <row r="56" spans="1:26" x14ac:dyDescent="0.25">
      <c r="A56" s="11" t="s">
        <v>268</v>
      </c>
      <c r="B56" s="11" t="s">
        <v>269</v>
      </c>
      <c r="C56" s="18" t="str">
        <f>_xll.BDH("ALNY US Equity","LT_CAPITAL_LEASE_OBLIGATIONS","FQ1 2019","FQ1 2019","Currency=USD","Period=FQ","BEST_FPERIOD_OVERRIDE=FQ","FILING_STATUS=MR","SCALING_FORMAT=MLN","Sort=A","Dates=H","DateFormat=P","Fill=—","Direction=H","UseDPDF=Y")</f>
        <v>—</v>
      </c>
      <c r="D56" s="18" t="str">
        <f>_xll.BDH("ALNY US Equity","LT_CAPITAL_LEASE_OBLIGATIONS","FQ2 2019","FQ2 2019","Currency=USD","Period=FQ","BEST_FPERIOD_OVERRIDE=FQ","FILING_STATUS=MR","SCALING_FORMAT=MLN","Sort=A","Dates=H","DateFormat=P","Fill=—","Direction=H","UseDPDF=Y")</f>
        <v>—</v>
      </c>
      <c r="E56" s="18" t="str">
        <f>_xll.BDH("ALNY US Equity","LT_CAPITAL_LEASE_OBLIGATIONS","FQ3 2019","FQ3 2019","Currency=USD","Period=FQ","BEST_FPERIOD_OVERRIDE=FQ","FILING_STATUS=MR","SCALING_FORMAT=MLN","Sort=A","Dates=H","DateFormat=P","Fill=—","Direction=H","UseDPDF=Y")</f>
        <v>—</v>
      </c>
      <c r="F56" s="18" t="str">
        <f>_xll.BDH("ALNY US Equity","LT_CAPITAL_LEASE_OBLIGATIONS","FQ4 2019","FQ4 2019","Currency=USD","Period=FQ","BEST_FPERIOD_OVERRIDE=FQ","FILING_STATUS=MR","SCALING_FORMAT=MLN","Sort=A","Dates=H","DateFormat=P","Fill=—","Direction=H","UseDPDF=Y")</f>
        <v>—</v>
      </c>
      <c r="G56" s="18" t="str">
        <f>_xll.BDH("ALNY US Equity","LT_CAPITAL_LEASE_OBLIGATIONS","FQ1 2020","FQ1 2020","Currency=USD","Period=FQ","BEST_FPERIOD_OVERRIDE=FQ","FILING_STATUS=MR","SCALING_FORMAT=MLN","Sort=A","Dates=H","DateFormat=P","Fill=—","Direction=H","UseDPDF=Y")</f>
        <v>—</v>
      </c>
      <c r="H56" s="18" t="str">
        <f>_xll.BDH("ALNY US Equity","LT_CAPITAL_LEASE_OBLIGATIONS","FQ2 2020","FQ2 2020","Currency=USD","Period=FQ","BEST_FPERIOD_OVERRIDE=FQ","FILING_STATUS=MR","SCALING_FORMAT=MLN","Sort=A","Dates=H","DateFormat=P","Fill=—","Direction=H","UseDPDF=Y")</f>
        <v>—</v>
      </c>
      <c r="I56" s="18" t="str">
        <f>_xll.BDH("ALNY US Equity","LT_CAPITAL_LEASE_OBLIGATIONS","FQ3 2020","FQ3 2020","Currency=USD","Period=FQ","BEST_FPERIOD_OVERRIDE=FQ","FILING_STATUS=MR","SCALING_FORMAT=MLN","Sort=A","Dates=H","DateFormat=P","Fill=—","Direction=H","UseDPDF=Y")</f>
        <v>—</v>
      </c>
      <c r="J56" s="18" t="str">
        <f>_xll.BDH("ALNY US Equity","LT_CAPITAL_LEASE_OBLIGATIONS","FQ4 2020","FQ4 2020","Currency=USD","Period=FQ","BEST_FPERIOD_OVERRIDE=FQ","FILING_STATUS=MR","SCALING_FORMAT=MLN","Sort=A","Dates=H","DateFormat=P","Fill=—","Direction=H","UseDPDF=Y")</f>
        <v>—</v>
      </c>
      <c r="K56" s="18" t="str">
        <f>_xll.BDH("ALNY US Equity","LT_CAPITAL_LEASE_OBLIGATIONS","FQ1 2021","FQ1 2021","Currency=USD","Period=FQ","BEST_FPERIOD_OVERRIDE=FQ","FILING_STATUS=MR","SCALING_FORMAT=MLN","Sort=A","Dates=H","DateFormat=P","Fill=—","Direction=H","UseDPDF=Y")</f>
        <v>—</v>
      </c>
      <c r="L56" s="18" t="str">
        <f>_xll.BDH("ALNY US Equity","LT_CAPITAL_LEASE_OBLIGATIONS","FQ2 2021","FQ2 2021","Currency=USD","Period=FQ","BEST_FPERIOD_OVERRIDE=FQ","FILING_STATUS=MR","SCALING_FORMAT=MLN","Sort=A","Dates=H","DateFormat=P","Fill=—","Direction=H","UseDPDF=Y")</f>
        <v>—</v>
      </c>
      <c r="M56" s="18" t="str">
        <f>_xll.BDH("ALNY US Equity","LT_CAPITAL_LEASE_OBLIGATIONS","FQ3 2021","FQ3 2021","Currency=USD","Period=FQ","BEST_FPERIOD_OVERRIDE=FQ","FILING_STATUS=MR","SCALING_FORMAT=MLN","Sort=A","Dates=H","DateFormat=P","Fill=—","Direction=H","UseDPDF=Y")</f>
        <v>—</v>
      </c>
      <c r="N56" s="18" t="str">
        <f>_xll.BDH("ALNY US Equity","LT_CAPITAL_LEASE_OBLIGATIONS","FQ4 2021","FQ4 2021","Currency=USD","Period=FQ","BEST_FPERIOD_OVERRIDE=FQ","FILING_STATUS=MR","SCALING_FORMAT=MLN","Sort=A","Dates=H","DateFormat=P","Fill=—","Direction=H","UseDPDF=Y")</f>
        <v>—</v>
      </c>
      <c r="O56" s="18" t="str">
        <f>_xll.BDH("ALNY US Equity","LT_CAPITAL_LEASE_OBLIGATIONS","FQ1 2022","FQ1 2022","Currency=USD","Period=FQ","BEST_FPERIOD_OVERRIDE=FQ","FILING_STATUS=MR","SCALING_FORMAT=MLN","Sort=A","Dates=H","DateFormat=P","Fill=—","Direction=H","UseDPDF=Y")</f>
        <v>—</v>
      </c>
      <c r="P56" s="18" t="str">
        <f>_xll.BDH("ALNY US Equity","LT_CAPITAL_LEASE_OBLIGATIONS","FQ2 2022","FQ2 2022","Currency=USD","Period=FQ","BEST_FPERIOD_OVERRIDE=FQ","FILING_STATUS=MR","SCALING_FORMAT=MLN","Sort=A","Dates=H","DateFormat=P","Fill=—","Direction=H","UseDPDF=Y")</f>
        <v>—</v>
      </c>
      <c r="Q56" s="18" t="str">
        <f>_xll.BDH("ALNY US Equity","LT_CAPITAL_LEASE_OBLIGATIONS","FQ3 2022","FQ3 2022","Currency=USD","Period=FQ","BEST_FPERIOD_OVERRIDE=FQ","FILING_STATUS=MR","SCALING_FORMAT=MLN","Sort=A","Dates=H","DateFormat=P","Fill=—","Direction=H","UseDPDF=Y")</f>
        <v>—</v>
      </c>
      <c r="R56" s="18" t="str">
        <f>_xll.BDH("ALNY US Equity","LT_CAPITAL_LEASE_OBLIGATIONS","FQ4 2022","FQ4 2022","Currency=USD","Period=FQ","BEST_FPERIOD_OVERRIDE=FQ","FILING_STATUS=MR","SCALING_FORMAT=MLN","Sort=A","Dates=H","DateFormat=P","Fill=—","Direction=H","UseDPDF=Y")</f>
        <v>—</v>
      </c>
      <c r="S56" s="18" t="str">
        <f>_xll.BDH("ALNY US Equity","LT_CAPITAL_LEASE_OBLIGATIONS","FQ1 2023","FQ1 2023","Currency=USD","Period=FQ","BEST_FPERIOD_OVERRIDE=FQ","FILING_STATUS=MR","SCALING_FORMAT=MLN","Sort=A","Dates=H","DateFormat=P","Fill=—","Direction=H","UseDPDF=Y")</f>
        <v>—</v>
      </c>
      <c r="T56" s="18" t="str">
        <f>_xll.BDH("ALNY US Equity","LT_CAPITAL_LEASE_OBLIGATIONS","FQ2 2023","FQ2 2023","Currency=USD","Period=FQ","BEST_FPERIOD_OVERRIDE=FQ","FILING_STATUS=MR","SCALING_FORMAT=MLN","Sort=A","Dates=H","DateFormat=P","Fill=—","Direction=H","UseDPDF=Y")</f>
        <v>—</v>
      </c>
      <c r="U56" s="18" t="str">
        <f>_xll.BDH("ALNY US Equity","LT_CAPITAL_LEASE_OBLIGATIONS","FQ3 2023","FQ3 2023","Currency=USD","Period=FQ","BEST_FPERIOD_OVERRIDE=FQ","FILING_STATUS=MR","SCALING_FORMAT=MLN","Sort=A","Dates=H","DateFormat=P","Fill=—","Direction=H","UseDPDF=Y")</f>
        <v>—</v>
      </c>
      <c r="V56" s="18" t="str">
        <f>_xll.BDH("ALNY US Equity","LT_CAPITAL_LEASE_OBLIGATIONS","FQ4 2023","FQ4 2023","Currency=USD","Period=FQ","BEST_FPERIOD_OVERRIDE=FQ","FILING_STATUS=MR","SCALING_FORMAT=MLN","Sort=A","Dates=H","DateFormat=P","Fill=—","Direction=H","UseDPDF=Y")</f>
        <v>—</v>
      </c>
      <c r="W56" s="18" t="str">
        <f>_xll.BDH("ALNY US Equity","LT_CAPITAL_LEASE_OBLIGATIONS","FQ1 2024","FQ1 2024","Currency=USD","Period=FQ","BEST_FPERIOD_OVERRIDE=FQ","FILING_STATUS=MR","SCALING_FORMAT=MLN","Sort=A","Dates=H","DateFormat=P","Fill=—","Direction=H","UseDPDF=Y")</f>
        <v>—</v>
      </c>
      <c r="X56" s="18" t="str">
        <f>_xll.BDH("ALNY US Equity","LT_CAPITAL_LEASE_OBLIGATIONS","FQ2 2024","FQ2 2024","Currency=USD","Period=FQ","BEST_FPERIOD_OVERRIDE=FQ","FILING_STATUS=MR","SCALING_FORMAT=MLN","Sort=A","Dates=H","DateFormat=P","Fill=—","Direction=H","UseDPDF=Y")</f>
        <v>—</v>
      </c>
      <c r="Y56" s="18" t="str">
        <f>_xll.BDH("ALNY US Equity","LT_CAPITAL_LEASE_OBLIGATIONS","FQ3 2024","FQ3 2024","Currency=USD","Period=FQ","BEST_FPERIOD_OVERRIDE=FQ","FILING_STATUS=MR","SCALING_FORMAT=MLN","Sort=A","Dates=H","DateFormat=P","Fill=—","Direction=H","UseDPDF=Y")</f>
        <v>—</v>
      </c>
      <c r="Z56" s="18" t="str">
        <f>_xll.BDH("ALNY US Equity","LT_CAPITAL_LEASE_OBLIGATIONS","FQ4 2024","FQ4 2024","Currency=USD","Period=FQ","BEST_FPERIOD_OVERRIDE=FQ","FILING_STATUS=MR","SCALING_FORMAT=MLN","Sort=A","Dates=H","DateFormat=P","Fill=—","Direction=H","UseDPDF=Y")</f>
        <v>—</v>
      </c>
    </row>
    <row r="57" spans="1:26" x14ac:dyDescent="0.25">
      <c r="A57" s="11" t="s">
        <v>270</v>
      </c>
      <c r="B57" s="11" t="s">
        <v>271</v>
      </c>
      <c r="C57" s="18">
        <f>_xll.BDH("ALNY US Equity","BS_LT_OPERATING_LEASE_LIABS","FQ1 2019","FQ1 2019","Currency=USD","Period=FQ","BEST_FPERIOD_OVERRIDE=FQ","FILING_STATUS=MR","SCALING_FORMAT=MLN","Sort=A","Dates=H","DateFormat=P","Fill=—","Direction=H","UseDPDF=Y")</f>
        <v>282.3</v>
      </c>
      <c r="D57" s="18">
        <f>_xll.BDH("ALNY US Equity","BS_LT_OPERATING_LEASE_LIABS","FQ2 2019","FQ2 2019","Currency=USD","Period=FQ","BEST_FPERIOD_OVERRIDE=FQ","FILING_STATUS=MR","SCALING_FORMAT=MLN","Sort=A","Dates=H","DateFormat=P","Fill=—","Direction=H","UseDPDF=Y")</f>
        <v>277.21100000000001</v>
      </c>
      <c r="E57" s="18">
        <f>_xll.BDH("ALNY US Equity","BS_LT_OPERATING_LEASE_LIABS","FQ3 2019","FQ3 2019","Currency=USD","Period=FQ","BEST_FPERIOD_OVERRIDE=FQ","FILING_STATUS=MR","SCALING_FORMAT=MLN","Sort=A","Dates=H","DateFormat=P","Fill=—","Direction=H","UseDPDF=Y")</f>
        <v>276.45600000000002</v>
      </c>
      <c r="F57" s="18">
        <f>_xll.BDH("ALNY US Equity","BS_LT_OPERATING_LEASE_LIABS","FQ4 2019","FQ4 2019","Currency=USD","Period=FQ","BEST_FPERIOD_OVERRIDE=FQ","FILING_STATUS=MR","SCALING_FORMAT=MLN","Sort=A","Dates=H","DateFormat=P","Fill=—","Direction=H","UseDPDF=Y")</f>
        <v>276.13499999999999</v>
      </c>
      <c r="G57" s="18">
        <f>_xll.BDH("ALNY US Equity","BS_LT_OPERATING_LEASE_LIABS","FQ1 2020","FQ1 2020","Currency=USD","Period=FQ","BEST_FPERIOD_OVERRIDE=FQ","FILING_STATUS=MR","SCALING_FORMAT=MLN","Sort=A","Dates=H","DateFormat=P","Fill=—","Direction=H","UseDPDF=Y")</f>
        <v>275.78199999999998</v>
      </c>
      <c r="H57" s="18">
        <f>_xll.BDH("ALNY US Equity","BS_LT_OPERATING_LEASE_LIABS","FQ2 2020","FQ2 2020","Currency=USD","Period=FQ","BEST_FPERIOD_OVERRIDE=FQ","FILING_STATUS=MR","SCALING_FORMAT=MLN","Sort=A","Dates=H","DateFormat=P","Fill=—","Direction=H","UseDPDF=Y")</f>
        <v>281.61799999999999</v>
      </c>
      <c r="I57" s="18">
        <f>_xll.BDH("ALNY US Equity","BS_LT_OPERATING_LEASE_LIABS","FQ3 2020","FQ3 2020","Currency=USD","Period=FQ","BEST_FPERIOD_OVERRIDE=FQ","FILING_STATUS=MR","SCALING_FORMAT=MLN","Sort=A","Dates=H","DateFormat=P","Fill=—","Direction=H","UseDPDF=Y")</f>
        <v>297.262</v>
      </c>
      <c r="J57" s="18">
        <f>_xll.BDH("ALNY US Equity","BS_LT_OPERATING_LEASE_LIABS","FQ4 2020","FQ4 2020","Currency=USD","Period=FQ","BEST_FPERIOD_OVERRIDE=FQ","FILING_STATUS=MR","SCALING_FORMAT=MLN","Sort=A","Dates=H","DateFormat=P","Fill=—","Direction=H","UseDPDF=Y")</f>
        <v>293.03899999999999</v>
      </c>
      <c r="K57" s="18">
        <f>_xll.BDH("ALNY US Equity","BS_LT_OPERATING_LEASE_LIABS","FQ1 2021","FQ1 2021","Currency=USD","Period=FQ","BEST_FPERIOD_OVERRIDE=FQ","FILING_STATUS=MR","SCALING_FORMAT=MLN","Sort=A","Dates=H","DateFormat=P","Fill=—","Direction=H","UseDPDF=Y")</f>
        <v>288.01499999999999</v>
      </c>
      <c r="L57" s="18">
        <f>_xll.BDH("ALNY US Equity","BS_LT_OPERATING_LEASE_LIABS","FQ2 2021","FQ2 2021","Currency=USD","Period=FQ","BEST_FPERIOD_OVERRIDE=FQ","FILING_STATUS=MR","SCALING_FORMAT=MLN","Sort=A","Dates=H","DateFormat=P","Fill=—","Direction=H","UseDPDF=Y")</f>
        <v>288.55900000000003</v>
      </c>
      <c r="M57" s="18">
        <f>_xll.BDH("ALNY US Equity","BS_LT_OPERATING_LEASE_LIABS","FQ3 2021","FQ3 2021","Currency=USD","Period=FQ","BEST_FPERIOD_OVERRIDE=FQ","FILING_STATUS=MR","SCALING_FORMAT=MLN","Sort=A","Dates=H","DateFormat=P","Fill=—","Direction=H","UseDPDF=Y")</f>
        <v>286.02999999999997</v>
      </c>
      <c r="N57" s="18">
        <f>_xll.BDH("ALNY US Equity","BS_LT_OPERATING_LEASE_LIABS","FQ4 2021","FQ4 2021","Currency=USD","Period=FQ","BEST_FPERIOD_OVERRIDE=FQ","FILING_STATUS=MR","SCALING_FORMAT=MLN","Sort=A","Dates=H","DateFormat=P","Fill=—","Direction=H","UseDPDF=Y")</f>
        <v>281.34699999999998</v>
      </c>
      <c r="O57" s="18">
        <f>_xll.BDH("ALNY US Equity","BS_LT_OPERATING_LEASE_LIABS","FQ1 2022","FQ1 2022","Currency=USD","Period=FQ","BEST_FPERIOD_OVERRIDE=FQ","FILING_STATUS=MR","SCALING_FORMAT=MLN","Sort=A","Dates=H","DateFormat=P","Fill=—","Direction=H","UseDPDF=Y")</f>
        <v>277.38799999999998</v>
      </c>
      <c r="P57" s="18">
        <f>_xll.BDH("ALNY US Equity","BS_LT_OPERATING_LEASE_LIABS","FQ2 2022","FQ2 2022","Currency=USD","Period=FQ","BEST_FPERIOD_OVERRIDE=FQ","FILING_STATUS=MR","SCALING_FORMAT=MLN","Sort=A","Dates=H","DateFormat=P","Fill=—","Direction=H","UseDPDF=Y")</f>
        <v>272.01600000000002</v>
      </c>
      <c r="Q57" s="18">
        <f>_xll.BDH("ALNY US Equity","BS_LT_OPERATING_LEASE_LIABS","FQ3 2022","FQ3 2022","Currency=USD","Period=FQ","BEST_FPERIOD_OVERRIDE=FQ","FILING_STATUS=MR","SCALING_FORMAT=MLN","Sort=A","Dates=H","DateFormat=P","Fill=—","Direction=H","UseDPDF=Y")</f>
        <v>266.32299999999998</v>
      </c>
      <c r="R57" s="18">
        <f>_xll.BDH("ALNY US Equity","BS_LT_OPERATING_LEASE_LIABS","FQ4 2022","FQ4 2022","Currency=USD","Period=FQ","BEST_FPERIOD_OVERRIDE=FQ","FILING_STATUS=MR","SCALING_FORMAT=MLN","Sort=A","Dates=H","DateFormat=P","Fill=—","Direction=H","UseDPDF=Y")</f>
        <v>261.339</v>
      </c>
      <c r="S57" s="18">
        <f>_xll.BDH("ALNY US Equity","BS_LT_OPERATING_LEASE_LIABS","FQ1 2023","FQ1 2023","Currency=USD","Period=FQ","BEST_FPERIOD_OVERRIDE=FQ","FILING_STATUS=MR","SCALING_FORMAT=MLN","Sort=A","Dates=H","DateFormat=P","Fill=—","Direction=H","UseDPDF=Y")</f>
        <v>259.399</v>
      </c>
      <c r="T57" s="18">
        <f>_xll.BDH("ALNY US Equity","BS_LT_OPERATING_LEASE_LIABS","FQ2 2023","FQ2 2023","Currency=USD","Period=FQ","BEST_FPERIOD_OVERRIDE=FQ","FILING_STATUS=MR","SCALING_FORMAT=MLN","Sort=A","Dates=H","DateFormat=P","Fill=—","Direction=H","UseDPDF=Y")</f>
        <v>253.416</v>
      </c>
      <c r="U57" s="18">
        <f>_xll.BDH("ALNY US Equity","BS_LT_OPERATING_LEASE_LIABS","FQ3 2023","FQ3 2023","Currency=USD","Period=FQ","BEST_FPERIOD_OVERRIDE=FQ","FILING_STATUS=MR","SCALING_FORMAT=MLN","Sort=A","Dates=H","DateFormat=P","Fill=—","Direction=H","UseDPDF=Y")</f>
        <v>247.71100000000001</v>
      </c>
      <c r="V57" s="18">
        <f>_xll.BDH("ALNY US Equity","BS_LT_OPERATING_LEASE_LIABS","FQ4 2023","FQ4 2023","Currency=USD","Period=FQ","BEST_FPERIOD_OVERRIDE=FQ","FILING_STATUS=MR","SCALING_FORMAT=MLN","Sort=A","Dates=H","DateFormat=P","Fill=—","Direction=H","UseDPDF=Y")</f>
        <v>243.101</v>
      </c>
      <c r="W57" s="18">
        <f>_xll.BDH("ALNY US Equity","BS_LT_OPERATING_LEASE_LIABS","FQ1 2024","FQ1 2024","Currency=USD","Period=FQ","BEST_FPERIOD_OVERRIDE=FQ","FILING_STATUS=MR","SCALING_FORMAT=MLN","Sort=A","Dates=H","DateFormat=P","Fill=—","Direction=H","UseDPDF=Y")</f>
        <v>237.82900000000001</v>
      </c>
      <c r="X57" s="18">
        <f>_xll.BDH("ALNY US Equity","BS_LT_OPERATING_LEASE_LIABS","FQ2 2024","FQ2 2024","Currency=USD","Period=FQ","BEST_FPERIOD_OVERRIDE=FQ","FILING_STATUS=MR","SCALING_FORMAT=MLN","Sort=A","Dates=H","DateFormat=P","Fill=—","Direction=H","UseDPDF=Y")</f>
        <v>239.352</v>
      </c>
      <c r="Y57" s="18">
        <f>_xll.BDH("ALNY US Equity","BS_LT_OPERATING_LEASE_LIABS","FQ3 2024","FQ3 2024","Currency=USD","Period=FQ","BEST_FPERIOD_OVERRIDE=FQ","FILING_STATUS=MR","SCALING_FORMAT=MLN","Sort=A","Dates=H","DateFormat=P","Fill=—","Direction=H","UseDPDF=Y")</f>
        <v>236.03</v>
      </c>
      <c r="Z57" s="18">
        <f>_xll.BDH("ALNY US Equity","BS_LT_OPERATING_LEASE_LIABS","FQ4 2024","FQ4 2024","Currency=USD","Period=FQ","BEST_FPERIOD_OVERRIDE=FQ","FILING_STATUS=MR","SCALING_FORMAT=MLN","Sort=A","Dates=H","DateFormat=P","Fill=—","Direction=H","UseDPDF=Y")</f>
        <v>229.541</v>
      </c>
    </row>
    <row r="58" spans="1:26" x14ac:dyDescent="0.25">
      <c r="A58" s="10" t="s">
        <v>272</v>
      </c>
      <c r="B58" s="10" t="s">
        <v>273</v>
      </c>
      <c r="C58" s="13">
        <f>_xll.BDH("ALNY US Equity","OTHER_NONCUR_LIABS_SUB_DETAILED","FQ1 2019","FQ1 2019","Currency=USD","Period=FQ","BEST_FPERIOD_OVERRIDE=FQ","FILING_STATUS=MR","SCALING_FORMAT=MLN","Sort=A","Dates=H","DateFormat=P","Fill=—","Direction=H","UseDPDF=Y")</f>
        <v>5.55</v>
      </c>
      <c r="D58" s="13">
        <f>_xll.BDH("ALNY US Equity","OTHER_NONCUR_LIABS_SUB_DETAILED","FQ2 2019","FQ2 2019","Currency=USD","Period=FQ","BEST_FPERIOD_OVERRIDE=FQ","FILING_STATUS=MR","SCALING_FORMAT=MLN","Sort=A","Dates=H","DateFormat=P","Fill=—","Direction=H","UseDPDF=Y")</f>
        <v>323.40100000000001</v>
      </c>
      <c r="E58" s="13">
        <f>_xll.BDH("ALNY US Equity","OTHER_NONCUR_LIABS_SUB_DETAILED","FQ3 2019","FQ3 2019","Currency=USD","Period=FQ","BEST_FPERIOD_OVERRIDE=FQ","FILING_STATUS=MR","SCALING_FORMAT=MLN","Sort=A","Dates=H","DateFormat=P","Fill=—","Direction=H","UseDPDF=Y")</f>
        <v>305.21499999999997</v>
      </c>
      <c r="F58" s="13">
        <f>_xll.BDH("ALNY US Equity","OTHER_NONCUR_LIABS_SUB_DETAILED","FQ4 2019","FQ4 2019","Currency=USD","Period=FQ","BEST_FPERIOD_OVERRIDE=FQ","FILING_STATUS=MR","SCALING_FORMAT=MLN","Sort=A","Dates=H","DateFormat=P","Fill=—","Direction=H","UseDPDF=Y")</f>
        <v>327.71300000000002</v>
      </c>
      <c r="G58" s="13">
        <f>_xll.BDH("ALNY US Equity","OTHER_NONCUR_LIABS_SUB_DETAILED","FQ1 2020","FQ1 2020","Currency=USD","Period=FQ","BEST_FPERIOD_OVERRIDE=FQ","FILING_STATUS=MR","SCALING_FORMAT=MLN","Sort=A","Dates=H","DateFormat=P","Fill=—","Direction=H","UseDPDF=Y")</f>
        <v>315.322</v>
      </c>
      <c r="H58" s="13">
        <f>_xll.BDH("ALNY US Equity","OTHER_NONCUR_LIABS_SUB_DETAILED","FQ2 2020","FQ2 2020","Currency=USD","Period=FQ","BEST_FPERIOD_OVERRIDE=FQ","FILING_STATUS=MR","SCALING_FORMAT=MLN","Sort=A","Dates=H","DateFormat=P","Fill=—","Direction=H","UseDPDF=Y")</f>
        <v>1308.721</v>
      </c>
      <c r="I58" s="13">
        <f>_xll.BDH("ALNY US Equity","OTHER_NONCUR_LIABS_SUB_DETAILED","FQ3 2020","FQ3 2020","Currency=USD","Period=FQ","BEST_FPERIOD_OVERRIDE=FQ","FILING_STATUS=MR","SCALING_FORMAT=MLN","Sort=A","Dates=H","DateFormat=P","Fill=—","Direction=H","UseDPDF=Y")</f>
        <v>1314.7570000000001</v>
      </c>
      <c r="J58" s="13">
        <f>_xll.BDH("ALNY US Equity","OTHER_NONCUR_LIABS_SUB_DETAILED","FQ4 2020","FQ4 2020","Currency=USD","Period=FQ","BEST_FPERIOD_OVERRIDE=FQ","FILING_STATUS=MR","SCALING_FORMAT=MLN","Sort=A","Dates=H","DateFormat=P","Fill=—","Direction=H","UseDPDF=Y")</f>
        <v>1321.2270000000001</v>
      </c>
      <c r="K58" s="13">
        <f>_xll.BDH("ALNY US Equity","OTHER_NONCUR_LIABS_SUB_DETAILED","FQ1 2021","FQ1 2021","Currency=USD","Period=FQ","BEST_FPERIOD_OVERRIDE=FQ","FILING_STATUS=MR","SCALING_FORMAT=MLN","Sort=A","Dates=H","DateFormat=P","Fill=—","Direction=H","UseDPDF=Y")</f>
        <v>1354.6489999999999</v>
      </c>
      <c r="L58" s="13">
        <f>_xll.BDH("ALNY US Equity","OTHER_NONCUR_LIABS_SUB_DETAILED","FQ2 2021","FQ2 2021","Currency=USD","Period=FQ","BEST_FPERIOD_OVERRIDE=FQ","FILING_STATUS=MR","SCALING_FORMAT=MLN","Sort=A","Dates=H","DateFormat=P","Fill=—","Direction=H","UseDPDF=Y")</f>
        <v>1379.7090000000001</v>
      </c>
      <c r="M58" s="13">
        <f>_xll.BDH("ALNY US Equity","OTHER_NONCUR_LIABS_SUB_DETAILED","FQ3 2021","FQ3 2021","Currency=USD","Period=FQ","BEST_FPERIOD_OVERRIDE=FQ","FILING_STATUS=MR","SCALING_FORMAT=MLN","Sort=A","Dates=H","DateFormat=P","Fill=—","Direction=H","UseDPDF=Y")</f>
        <v>1385.9349999999999</v>
      </c>
      <c r="N58" s="13">
        <f>_xll.BDH("ALNY US Equity","OTHER_NONCUR_LIABS_SUB_DETAILED","FQ4 2021","FQ4 2021","Currency=USD","Period=FQ","BEST_FPERIOD_OVERRIDE=FQ","FILING_STATUS=MR","SCALING_FORMAT=MLN","Sort=A","Dates=H","DateFormat=P","Fill=—","Direction=H","UseDPDF=Y")</f>
        <v>1402.347</v>
      </c>
      <c r="O58" s="13">
        <f>_xll.BDH("ALNY US Equity","OTHER_NONCUR_LIABS_SUB_DETAILED","FQ1 2022","FQ1 2022","Currency=USD","Period=FQ","BEST_FPERIOD_OVERRIDE=FQ","FILING_STATUS=MR","SCALING_FORMAT=MLN","Sort=A","Dates=H","DateFormat=P","Fill=—","Direction=H","UseDPDF=Y")</f>
        <v>1472.318</v>
      </c>
      <c r="P58" s="13">
        <f>_xll.BDH("ALNY US Equity","OTHER_NONCUR_LIABS_SUB_DETAILED","FQ2 2022","FQ2 2022","Currency=USD","Period=FQ","BEST_FPERIOD_OVERRIDE=FQ","FILING_STATUS=MR","SCALING_FORMAT=MLN","Sort=A","Dates=H","DateFormat=P","Fill=—","Direction=H","UseDPDF=Y")</f>
        <v>1546.953</v>
      </c>
      <c r="Q58" s="13">
        <f>_xll.BDH("ALNY US Equity","OTHER_NONCUR_LIABS_SUB_DETAILED","FQ3 2022","FQ3 2022","Currency=USD","Period=FQ","BEST_FPERIOD_OVERRIDE=FQ","FILING_STATUS=MR","SCALING_FORMAT=MLN","Sort=A","Dates=H","DateFormat=P","Fill=—","Direction=H","UseDPDF=Y")</f>
        <v>1331.9059999999999</v>
      </c>
      <c r="R58" s="13">
        <f>_xll.BDH("ALNY US Equity","OTHER_NONCUR_LIABS_SUB_DETAILED","FQ4 2022","FQ4 2022","Currency=USD","Period=FQ","BEST_FPERIOD_OVERRIDE=FQ","FILING_STATUS=MR","SCALING_FORMAT=MLN","Sort=A","Dates=H","DateFormat=P","Fill=—","Direction=H","UseDPDF=Y")</f>
        <v>1658.386</v>
      </c>
      <c r="S58" s="13">
        <f>_xll.BDH("ALNY US Equity","OTHER_NONCUR_LIABS_SUB_DETAILED","FQ1 2023","FQ1 2023","Currency=USD","Period=FQ","BEST_FPERIOD_OVERRIDE=FQ","FILING_STATUS=MR","SCALING_FORMAT=MLN","Sort=A","Dates=H","DateFormat=P","Fill=—","Direction=H","UseDPDF=Y")</f>
        <v>1700.5029999999999</v>
      </c>
      <c r="T58" s="13">
        <f>_xll.BDH("ALNY US Equity","OTHER_NONCUR_LIABS_SUB_DETAILED","FQ2 2023","FQ2 2023","Currency=USD","Period=FQ","BEST_FPERIOD_OVERRIDE=FQ","FILING_STATUS=MR","SCALING_FORMAT=MLN","Sort=A","Dates=H","DateFormat=P","Fill=—","Direction=H","UseDPDF=Y")</f>
        <v>1749.6289999999999</v>
      </c>
      <c r="U58" s="13">
        <f>_xll.BDH("ALNY US Equity","OTHER_NONCUR_LIABS_SUB_DETAILED","FQ3 2023","FQ3 2023","Currency=USD","Period=FQ","BEST_FPERIOD_OVERRIDE=FQ","FILING_STATUS=MR","SCALING_FORMAT=MLN","Sort=A","Dates=H","DateFormat=P","Fill=—","Direction=H","UseDPDF=Y")</f>
        <v>1787.634</v>
      </c>
      <c r="V58" s="13">
        <f>_xll.BDH("ALNY US Equity","OTHER_NONCUR_LIABS_SUB_DETAILED","FQ4 2023","FQ4 2023","Currency=USD","Period=FQ","BEST_FPERIOD_OVERRIDE=FQ","FILING_STATUS=MR","SCALING_FORMAT=MLN","Sort=A","Dates=H","DateFormat=P","Fill=—","Direction=H","UseDPDF=Y")</f>
        <v>1818.8610000000001</v>
      </c>
      <c r="W58" s="13">
        <f>_xll.BDH("ALNY US Equity","OTHER_NONCUR_LIABS_SUB_DETAILED","FQ1 2024","FQ1 2024","Currency=USD","Period=FQ","BEST_FPERIOD_OVERRIDE=FQ","FILING_STATUS=MR","SCALING_FORMAT=MLN","Sort=A","Dates=H","DateFormat=P","Fill=—","Direction=H","UseDPDF=Y")</f>
        <v>1842.3879999999999</v>
      </c>
      <c r="X58" s="13">
        <f>_xll.BDH("ALNY US Equity","OTHER_NONCUR_LIABS_SUB_DETAILED","FQ2 2024","FQ2 2024","Currency=USD","Period=FQ","BEST_FPERIOD_OVERRIDE=FQ","FILING_STATUS=MR","SCALING_FORMAT=MLN","Sort=A","Dates=H","DateFormat=P","Fill=—","Direction=H","UseDPDF=Y")</f>
        <v>352.83</v>
      </c>
      <c r="Y58" s="13">
        <f>_xll.BDH("ALNY US Equity","OTHER_NONCUR_LIABS_SUB_DETAILED","FQ3 2024","FQ3 2024","Currency=USD","Period=FQ","BEST_FPERIOD_OVERRIDE=FQ","FILING_STATUS=MR","SCALING_FORMAT=MLN","Sort=A","Dates=H","DateFormat=P","Fill=—","Direction=H","UseDPDF=Y")</f>
        <v>1692.338</v>
      </c>
      <c r="Z58" s="13">
        <f>_xll.BDH("ALNY US Equity","OTHER_NONCUR_LIABS_SUB_DETAILED","FQ4 2024","FQ4 2024","Currency=USD","Period=FQ","BEST_FPERIOD_OVERRIDE=FQ","FILING_STATUS=MR","SCALING_FORMAT=MLN","Sort=A","Dates=H","DateFormat=P","Fill=—","Direction=H","UseDPDF=Y")</f>
        <v>1732.461</v>
      </c>
    </row>
    <row r="59" spans="1:26" x14ac:dyDescent="0.25">
      <c r="A59" s="10" t="s">
        <v>274</v>
      </c>
      <c r="B59" s="10" t="s">
        <v>275</v>
      </c>
      <c r="C59" s="13" t="str">
        <f>_xll.BDH("ALNY US Equity","BS_ACCRUED_LIABILITIES","FQ1 2019","FQ1 2019","Currency=USD","Period=FQ","BEST_FPERIOD_OVERRIDE=FQ","FILING_STATUS=MR","SCALING_FORMAT=MLN","Sort=A","Dates=H","DateFormat=P","Fill=—","Direction=H","UseDPDF=Y")</f>
        <v>—</v>
      </c>
      <c r="D59" s="13" t="str">
        <f>_xll.BDH("ALNY US Equity","BS_ACCRUED_LIABILITIES","FQ2 2019","FQ2 2019","Currency=USD","Period=FQ","BEST_FPERIOD_OVERRIDE=FQ","FILING_STATUS=MR","SCALING_FORMAT=MLN","Sort=A","Dates=H","DateFormat=P","Fill=—","Direction=H","UseDPDF=Y")</f>
        <v>—</v>
      </c>
      <c r="E59" s="13" t="str">
        <f>_xll.BDH("ALNY US Equity","BS_ACCRUED_LIABILITIES","FQ3 2019","FQ3 2019","Currency=USD","Period=FQ","BEST_FPERIOD_OVERRIDE=FQ","FILING_STATUS=MR","SCALING_FORMAT=MLN","Sort=A","Dates=H","DateFormat=P","Fill=—","Direction=H","UseDPDF=Y")</f>
        <v>—</v>
      </c>
      <c r="F59" s="13">
        <f>_xll.BDH("ALNY US Equity","BS_ACCRUED_LIABILITIES","FQ4 2019","FQ4 2019","Currency=USD","Period=FQ","BEST_FPERIOD_OVERRIDE=FQ","FILING_STATUS=MR","SCALING_FORMAT=MLN","Sort=A","Dates=H","DateFormat=P","Fill=—","Direction=H","UseDPDF=Y")</f>
        <v>0</v>
      </c>
      <c r="G59" s="13" t="str">
        <f>_xll.BDH("ALNY US Equity","BS_ACCRUED_LIABILITIES","FQ1 2020","FQ1 2020","Currency=USD","Period=FQ","BEST_FPERIOD_OVERRIDE=FQ","FILING_STATUS=MR","SCALING_FORMAT=MLN","Sort=A","Dates=H","DateFormat=P","Fill=—","Direction=H","UseDPDF=Y")</f>
        <v>—</v>
      </c>
      <c r="H59" s="13" t="str">
        <f>_xll.BDH("ALNY US Equity","BS_ACCRUED_LIABILITIES","FQ2 2020","FQ2 2020","Currency=USD","Period=FQ","BEST_FPERIOD_OVERRIDE=FQ","FILING_STATUS=MR","SCALING_FORMAT=MLN","Sort=A","Dates=H","DateFormat=P","Fill=—","Direction=H","UseDPDF=Y")</f>
        <v>—</v>
      </c>
      <c r="I59" s="13" t="str">
        <f>_xll.BDH("ALNY US Equity","BS_ACCRUED_LIABILITIES","FQ3 2020","FQ3 2020","Currency=USD","Period=FQ","BEST_FPERIOD_OVERRIDE=FQ","FILING_STATUS=MR","SCALING_FORMAT=MLN","Sort=A","Dates=H","DateFormat=P","Fill=—","Direction=H","UseDPDF=Y")</f>
        <v>—</v>
      </c>
      <c r="J59" s="13">
        <f>_xll.BDH("ALNY US Equity","BS_ACCRUED_LIABILITIES","FQ4 2020","FQ4 2020","Currency=USD","Period=FQ","BEST_FPERIOD_OVERRIDE=FQ","FILING_STATUS=MR","SCALING_FORMAT=MLN","Sort=A","Dates=H","DateFormat=P","Fill=—","Direction=H","UseDPDF=Y")</f>
        <v>0</v>
      </c>
      <c r="K59" s="13" t="str">
        <f>_xll.BDH("ALNY US Equity","BS_ACCRUED_LIABILITIES","FQ1 2021","FQ1 2021","Currency=USD","Period=FQ","BEST_FPERIOD_OVERRIDE=FQ","FILING_STATUS=MR","SCALING_FORMAT=MLN","Sort=A","Dates=H","DateFormat=P","Fill=—","Direction=H","UseDPDF=Y")</f>
        <v>—</v>
      </c>
      <c r="L59" s="13" t="str">
        <f>_xll.BDH("ALNY US Equity","BS_ACCRUED_LIABILITIES","FQ2 2021","FQ2 2021","Currency=USD","Period=FQ","BEST_FPERIOD_OVERRIDE=FQ","FILING_STATUS=MR","SCALING_FORMAT=MLN","Sort=A","Dates=H","DateFormat=P","Fill=—","Direction=H","UseDPDF=Y")</f>
        <v>—</v>
      </c>
      <c r="M59" s="13" t="str">
        <f>_xll.BDH("ALNY US Equity","BS_ACCRUED_LIABILITIES","FQ3 2021","FQ3 2021","Currency=USD","Period=FQ","BEST_FPERIOD_OVERRIDE=FQ","FILING_STATUS=MR","SCALING_FORMAT=MLN","Sort=A","Dates=H","DateFormat=P","Fill=—","Direction=H","UseDPDF=Y")</f>
        <v>—</v>
      </c>
      <c r="N59" s="13">
        <f>_xll.BDH("ALNY US Equity","BS_ACCRUED_LIABILITIES","FQ4 2021","FQ4 2021","Currency=USD","Period=FQ","BEST_FPERIOD_OVERRIDE=FQ","FILING_STATUS=MR","SCALING_FORMAT=MLN","Sort=A","Dates=H","DateFormat=P","Fill=—","Direction=H","UseDPDF=Y")</f>
        <v>0</v>
      </c>
      <c r="O59" s="13" t="str">
        <f>_xll.BDH("ALNY US Equity","BS_ACCRUED_LIABILITIES","FQ1 2022","FQ1 2022","Currency=USD","Period=FQ","BEST_FPERIOD_OVERRIDE=FQ","FILING_STATUS=MR","SCALING_FORMAT=MLN","Sort=A","Dates=H","DateFormat=P","Fill=—","Direction=H","UseDPDF=Y")</f>
        <v>—</v>
      </c>
      <c r="P59" s="13" t="str">
        <f>_xll.BDH("ALNY US Equity","BS_ACCRUED_LIABILITIES","FQ2 2022","FQ2 2022","Currency=USD","Period=FQ","BEST_FPERIOD_OVERRIDE=FQ","FILING_STATUS=MR","SCALING_FORMAT=MLN","Sort=A","Dates=H","DateFormat=P","Fill=—","Direction=H","UseDPDF=Y")</f>
        <v>—</v>
      </c>
      <c r="Q59" s="13" t="str">
        <f>_xll.BDH("ALNY US Equity","BS_ACCRUED_LIABILITIES","FQ3 2022","FQ3 2022","Currency=USD","Period=FQ","BEST_FPERIOD_OVERRIDE=FQ","FILING_STATUS=MR","SCALING_FORMAT=MLN","Sort=A","Dates=H","DateFormat=P","Fill=—","Direction=H","UseDPDF=Y")</f>
        <v>—</v>
      </c>
      <c r="R59" s="13">
        <f>_xll.BDH("ALNY US Equity","BS_ACCRUED_LIABILITIES","FQ4 2022","FQ4 2022","Currency=USD","Period=FQ","BEST_FPERIOD_OVERRIDE=FQ","FILING_STATUS=MR","SCALING_FORMAT=MLN","Sort=A","Dates=H","DateFormat=P","Fill=—","Direction=H","UseDPDF=Y")</f>
        <v>0</v>
      </c>
      <c r="S59" s="13" t="str">
        <f>_xll.BDH("ALNY US Equity","BS_ACCRUED_LIABILITIES","FQ1 2023","FQ1 2023","Currency=USD","Period=FQ","BEST_FPERIOD_OVERRIDE=FQ","FILING_STATUS=MR","SCALING_FORMAT=MLN","Sort=A","Dates=H","DateFormat=P","Fill=—","Direction=H","UseDPDF=Y")</f>
        <v>—</v>
      </c>
      <c r="T59" s="13" t="str">
        <f>_xll.BDH("ALNY US Equity","BS_ACCRUED_LIABILITIES","FQ2 2023","FQ2 2023","Currency=USD","Period=FQ","BEST_FPERIOD_OVERRIDE=FQ","FILING_STATUS=MR","SCALING_FORMAT=MLN","Sort=A","Dates=H","DateFormat=P","Fill=—","Direction=H","UseDPDF=Y")</f>
        <v>—</v>
      </c>
      <c r="U59" s="13" t="str">
        <f>_xll.BDH("ALNY US Equity","BS_ACCRUED_LIABILITIES","FQ3 2023","FQ3 2023","Currency=USD","Period=FQ","BEST_FPERIOD_OVERRIDE=FQ","FILING_STATUS=MR","SCALING_FORMAT=MLN","Sort=A","Dates=H","DateFormat=P","Fill=—","Direction=H","UseDPDF=Y")</f>
        <v>—</v>
      </c>
      <c r="V59" s="13">
        <f>_xll.BDH("ALNY US Equity","BS_ACCRUED_LIABILITIES","FQ4 2023","FQ4 2023","Currency=USD","Period=FQ","BEST_FPERIOD_OVERRIDE=FQ","FILING_STATUS=MR","SCALING_FORMAT=MLN","Sort=A","Dates=H","DateFormat=P","Fill=—","Direction=H","UseDPDF=Y")</f>
        <v>0</v>
      </c>
      <c r="W59" s="13" t="str">
        <f>_xll.BDH("ALNY US Equity","BS_ACCRUED_LIABILITIES","FQ1 2024","FQ1 2024","Currency=USD","Period=FQ","BEST_FPERIOD_OVERRIDE=FQ","FILING_STATUS=MR","SCALING_FORMAT=MLN","Sort=A","Dates=H","DateFormat=P","Fill=—","Direction=H","UseDPDF=Y")</f>
        <v>—</v>
      </c>
      <c r="X59" s="13" t="str">
        <f>_xll.BDH("ALNY US Equity","BS_ACCRUED_LIABILITIES","FQ2 2024","FQ2 2024","Currency=USD","Period=FQ","BEST_FPERIOD_OVERRIDE=FQ","FILING_STATUS=MR","SCALING_FORMAT=MLN","Sort=A","Dates=H","DateFormat=P","Fill=—","Direction=H","UseDPDF=Y")</f>
        <v>—</v>
      </c>
      <c r="Y59" s="13" t="str">
        <f>_xll.BDH("ALNY US Equity","BS_ACCRUED_LIABILITIES","FQ3 2024","FQ3 2024","Currency=USD","Period=FQ","BEST_FPERIOD_OVERRIDE=FQ","FILING_STATUS=MR","SCALING_FORMAT=MLN","Sort=A","Dates=H","DateFormat=P","Fill=—","Direction=H","UseDPDF=Y")</f>
        <v>—</v>
      </c>
      <c r="Z59" s="13">
        <f>_xll.BDH("ALNY US Equity","BS_ACCRUED_LIABILITIES","FQ4 2024","FQ4 2024","Currency=USD","Period=FQ","BEST_FPERIOD_OVERRIDE=FQ","FILING_STATUS=MR","SCALING_FORMAT=MLN","Sort=A","Dates=H","DateFormat=P","Fill=—","Direction=H","UseDPDF=Y")</f>
        <v>0</v>
      </c>
    </row>
    <row r="60" spans="1:26" x14ac:dyDescent="0.25">
      <c r="A60" s="10" t="s">
        <v>276</v>
      </c>
      <c r="B60" s="10" t="s">
        <v>277</v>
      </c>
      <c r="C60" s="13" t="str">
        <f>_xll.BDH("ALNY US Equity","PENSION_LIABILITIES","FQ1 2019","FQ1 2019","Currency=USD","Period=FQ","BEST_FPERIOD_OVERRIDE=FQ","FILING_STATUS=MR","SCALING_FORMAT=MLN","Sort=A","Dates=H","DateFormat=P","Fill=—","Direction=H","UseDPDF=Y")</f>
        <v>—</v>
      </c>
      <c r="D60" s="13" t="str">
        <f>_xll.BDH("ALNY US Equity","PENSION_LIABILITIES","FQ2 2019","FQ2 2019","Currency=USD","Period=FQ","BEST_FPERIOD_OVERRIDE=FQ","FILING_STATUS=MR","SCALING_FORMAT=MLN","Sort=A","Dates=H","DateFormat=P","Fill=—","Direction=H","UseDPDF=Y")</f>
        <v>—</v>
      </c>
      <c r="E60" s="13" t="str">
        <f>_xll.BDH("ALNY US Equity","PENSION_LIABILITIES","FQ3 2019","FQ3 2019","Currency=USD","Period=FQ","BEST_FPERIOD_OVERRIDE=FQ","FILING_STATUS=MR","SCALING_FORMAT=MLN","Sort=A","Dates=H","DateFormat=P","Fill=—","Direction=H","UseDPDF=Y")</f>
        <v>—</v>
      </c>
      <c r="F60" s="13">
        <f>_xll.BDH("ALNY US Equity","PENSION_LIABILITIES","FQ4 2019","FQ4 2019","Currency=USD","Period=FQ","BEST_FPERIOD_OVERRIDE=FQ","FILING_STATUS=MR","SCALING_FORMAT=MLN","Sort=A","Dates=H","DateFormat=P","Fill=—","Direction=H","UseDPDF=Y")</f>
        <v>0</v>
      </c>
      <c r="G60" s="13" t="str">
        <f>_xll.BDH("ALNY US Equity","PENSION_LIABILITIES","FQ1 2020","FQ1 2020","Currency=USD","Period=FQ","BEST_FPERIOD_OVERRIDE=FQ","FILING_STATUS=MR","SCALING_FORMAT=MLN","Sort=A","Dates=H","DateFormat=P","Fill=—","Direction=H","UseDPDF=Y")</f>
        <v>—</v>
      </c>
      <c r="H60" s="13" t="str">
        <f>_xll.BDH("ALNY US Equity","PENSION_LIABILITIES","FQ2 2020","FQ2 2020","Currency=USD","Period=FQ","BEST_FPERIOD_OVERRIDE=FQ","FILING_STATUS=MR","SCALING_FORMAT=MLN","Sort=A","Dates=H","DateFormat=P","Fill=—","Direction=H","UseDPDF=Y")</f>
        <v>—</v>
      </c>
      <c r="I60" s="13" t="str">
        <f>_xll.BDH("ALNY US Equity","PENSION_LIABILITIES","FQ3 2020","FQ3 2020","Currency=USD","Period=FQ","BEST_FPERIOD_OVERRIDE=FQ","FILING_STATUS=MR","SCALING_FORMAT=MLN","Sort=A","Dates=H","DateFormat=P","Fill=—","Direction=H","UseDPDF=Y")</f>
        <v>—</v>
      </c>
      <c r="J60" s="13">
        <f>_xll.BDH("ALNY US Equity","PENSION_LIABILITIES","FQ4 2020","FQ4 2020","Currency=USD","Period=FQ","BEST_FPERIOD_OVERRIDE=FQ","FILING_STATUS=MR","SCALING_FORMAT=MLN","Sort=A","Dates=H","DateFormat=P","Fill=—","Direction=H","UseDPDF=Y")</f>
        <v>0</v>
      </c>
      <c r="K60" s="13" t="str">
        <f>_xll.BDH("ALNY US Equity","PENSION_LIABILITIES","FQ1 2021","FQ1 2021","Currency=USD","Period=FQ","BEST_FPERIOD_OVERRIDE=FQ","FILING_STATUS=MR","SCALING_FORMAT=MLN","Sort=A","Dates=H","DateFormat=P","Fill=—","Direction=H","UseDPDF=Y")</f>
        <v>—</v>
      </c>
      <c r="L60" s="13" t="str">
        <f>_xll.BDH("ALNY US Equity","PENSION_LIABILITIES","FQ2 2021","FQ2 2021","Currency=USD","Period=FQ","BEST_FPERIOD_OVERRIDE=FQ","FILING_STATUS=MR","SCALING_FORMAT=MLN","Sort=A","Dates=H","DateFormat=P","Fill=—","Direction=H","UseDPDF=Y")</f>
        <v>—</v>
      </c>
      <c r="M60" s="13" t="str">
        <f>_xll.BDH("ALNY US Equity","PENSION_LIABILITIES","FQ3 2021","FQ3 2021","Currency=USD","Period=FQ","BEST_FPERIOD_OVERRIDE=FQ","FILING_STATUS=MR","SCALING_FORMAT=MLN","Sort=A","Dates=H","DateFormat=P","Fill=—","Direction=H","UseDPDF=Y")</f>
        <v>—</v>
      </c>
      <c r="N60" s="13">
        <f>_xll.BDH("ALNY US Equity","PENSION_LIABILITIES","FQ4 2021","FQ4 2021","Currency=USD","Period=FQ","BEST_FPERIOD_OVERRIDE=FQ","FILING_STATUS=MR","SCALING_FORMAT=MLN","Sort=A","Dates=H","DateFormat=P","Fill=—","Direction=H","UseDPDF=Y")</f>
        <v>0</v>
      </c>
      <c r="O60" s="13" t="str">
        <f>_xll.BDH("ALNY US Equity","PENSION_LIABILITIES","FQ1 2022","FQ1 2022","Currency=USD","Period=FQ","BEST_FPERIOD_OVERRIDE=FQ","FILING_STATUS=MR","SCALING_FORMAT=MLN","Sort=A","Dates=H","DateFormat=P","Fill=—","Direction=H","UseDPDF=Y")</f>
        <v>—</v>
      </c>
      <c r="P60" s="13" t="str">
        <f>_xll.BDH("ALNY US Equity","PENSION_LIABILITIES","FQ2 2022","FQ2 2022","Currency=USD","Period=FQ","BEST_FPERIOD_OVERRIDE=FQ","FILING_STATUS=MR","SCALING_FORMAT=MLN","Sort=A","Dates=H","DateFormat=P","Fill=—","Direction=H","UseDPDF=Y")</f>
        <v>—</v>
      </c>
      <c r="Q60" s="13" t="str">
        <f>_xll.BDH("ALNY US Equity","PENSION_LIABILITIES","FQ3 2022","FQ3 2022","Currency=USD","Period=FQ","BEST_FPERIOD_OVERRIDE=FQ","FILING_STATUS=MR","SCALING_FORMAT=MLN","Sort=A","Dates=H","DateFormat=P","Fill=—","Direction=H","UseDPDF=Y")</f>
        <v>—</v>
      </c>
      <c r="R60" s="13">
        <f>_xll.BDH("ALNY US Equity","PENSION_LIABILITIES","FQ4 2022","FQ4 2022","Currency=USD","Period=FQ","BEST_FPERIOD_OVERRIDE=FQ","FILING_STATUS=MR","SCALING_FORMAT=MLN","Sort=A","Dates=H","DateFormat=P","Fill=—","Direction=H","UseDPDF=Y")</f>
        <v>0</v>
      </c>
      <c r="S60" s="13" t="str">
        <f>_xll.BDH("ALNY US Equity","PENSION_LIABILITIES","FQ1 2023","FQ1 2023","Currency=USD","Period=FQ","BEST_FPERIOD_OVERRIDE=FQ","FILING_STATUS=MR","SCALING_FORMAT=MLN","Sort=A","Dates=H","DateFormat=P","Fill=—","Direction=H","UseDPDF=Y")</f>
        <v>—</v>
      </c>
      <c r="T60" s="13" t="str">
        <f>_xll.BDH("ALNY US Equity","PENSION_LIABILITIES","FQ2 2023","FQ2 2023","Currency=USD","Period=FQ","BEST_FPERIOD_OVERRIDE=FQ","FILING_STATUS=MR","SCALING_FORMAT=MLN","Sort=A","Dates=H","DateFormat=P","Fill=—","Direction=H","UseDPDF=Y")</f>
        <v>—</v>
      </c>
      <c r="U60" s="13" t="str">
        <f>_xll.BDH("ALNY US Equity","PENSION_LIABILITIES","FQ3 2023","FQ3 2023","Currency=USD","Period=FQ","BEST_FPERIOD_OVERRIDE=FQ","FILING_STATUS=MR","SCALING_FORMAT=MLN","Sort=A","Dates=H","DateFormat=P","Fill=—","Direction=H","UseDPDF=Y")</f>
        <v>—</v>
      </c>
      <c r="V60" s="13">
        <f>_xll.BDH("ALNY US Equity","PENSION_LIABILITIES","FQ4 2023","FQ4 2023","Currency=USD","Period=FQ","BEST_FPERIOD_OVERRIDE=FQ","FILING_STATUS=MR","SCALING_FORMAT=MLN","Sort=A","Dates=H","DateFormat=P","Fill=—","Direction=H","UseDPDF=Y")</f>
        <v>0</v>
      </c>
      <c r="W60" s="13" t="str">
        <f>_xll.BDH("ALNY US Equity","PENSION_LIABILITIES","FQ1 2024","FQ1 2024","Currency=USD","Period=FQ","BEST_FPERIOD_OVERRIDE=FQ","FILING_STATUS=MR","SCALING_FORMAT=MLN","Sort=A","Dates=H","DateFormat=P","Fill=—","Direction=H","UseDPDF=Y")</f>
        <v>—</v>
      </c>
      <c r="X60" s="13" t="str">
        <f>_xll.BDH("ALNY US Equity","PENSION_LIABILITIES","FQ2 2024","FQ2 2024","Currency=USD","Period=FQ","BEST_FPERIOD_OVERRIDE=FQ","FILING_STATUS=MR","SCALING_FORMAT=MLN","Sort=A","Dates=H","DateFormat=P","Fill=—","Direction=H","UseDPDF=Y")</f>
        <v>—</v>
      </c>
      <c r="Y60" s="13" t="str">
        <f>_xll.BDH("ALNY US Equity","PENSION_LIABILITIES","FQ3 2024","FQ3 2024","Currency=USD","Period=FQ","BEST_FPERIOD_OVERRIDE=FQ","FILING_STATUS=MR","SCALING_FORMAT=MLN","Sort=A","Dates=H","DateFormat=P","Fill=—","Direction=H","UseDPDF=Y")</f>
        <v>—</v>
      </c>
      <c r="Z60" s="13">
        <f>_xll.BDH("ALNY US Equity","PENSION_LIABILITIES","FQ4 2024","FQ4 2024","Currency=USD","Period=FQ","BEST_FPERIOD_OVERRIDE=FQ","FILING_STATUS=MR","SCALING_FORMAT=MLN","Sort=A","Dates=H","DateFormat=P","Fill=—","Direction=H","UseDPDF=Y")</f>
        <v>0</v>
      </c>
    </row>
    <row r="61" spans="1:26" x14ac:dyDescent="0.25">
      <c r="A61" s="11" t="s">
        <v>278</v>
      </c>
      <c r="B61" s="11" t="s">
        <v>279</v>
      </c>
      <c r="C61" s="18" t="str">
        <f>_xll.BDH("ALNY US Equity","BS_PENSIONS_LT_LIABS","FQ1 2019","FQ1 2019","Currency=USD","Period=FQ","BEST_FPERIOD_OVERRIDE=FQ","FILING_STATUS=MR","SCALING_FORMAT=MLN","Sort=A","Dates=H","DateFormat=P","Fill=—","Direction=H","UseDPDF=Y")</f>
        <v>—</v>
      </c>
      <c r="D61" s="18" t="str">
        <f>_xll.BDH("ALNY US Equity","BS_PENSIONS_LT_LIABS","FQ2 2019","FQ2 2019","Currency=USD","Period=FQ","BEST_FPERIOD_OVERRIDE=FQ","FILING_STATUS=MR","SCALING_FORMAT=MLN","Sort=A","Dates=H","DateFormat=P","Fill=—","Direction=H","UseDPDF=Y")</f>
        <v>—</v>
      </c>
      <c r="E61" s="18" t="str">
        <f>_xll.BDH("ALNY US Equity","BS_PENSIONS_LT_LIABS","FQ3 2019","FQ3 2019","Currency=USD","Period=FQ","BEST_FPERIOD_OVERRIDE=FQ","FILING_STATUS=MR","SCALING_FORMAT=MLN","Sort=A","Dates=H","DateFormat=P","Fill=—","Direction=H","UseDPDF=Y")</f>
        <v>—</v>
      </c>
      <c r="F61" s="18">
        <f>_xll.BDH("ALNY US Equity","BS_PENSIONS_LT_LIABS","FQ4 2019","FQ4 2019","Currency=USD","Period=FQ","BEST_FPERIOD_OVERRIDE=FQ","FILING_STATUS=MR","SCALING_FORMAT=MLN","Sort=A","Dates=H","DateFormat=P","Fill=—","Direction=H","UseDPDF=Y")</f>
        <v>0</v>
      </c>
      <c r="G61" s="18" t="str">
        <f>_xll.BDH("ALNY US Equity","BS_PENSIONS_LT_LIABS","FQ1 2020","FQ1 2020","Currency=USD","Period=FQ","BEST_FPERIOD_OVERRIDE=FQ","FILING_STATUS=MR","SCALING_FORMAT=MLN","Sort=A","Dates=H","DateFormat=P","Fill=—","Direction=H","UseDPDF=Y")</f>
        <v>—</v>
      </c>
      <c r="H61" s="18" t="str">
        <f>_xll.BDH("ALNY US Equity","BS_PENSIONS_LT_LIABS","FQ2 2020","FQ2 2020","Currency=USD","Period=FQ","BEST_FPERIOD_OVERRIDE=FQ","FILING_STATUS=MR","SCALING_FORMAT=MLN","Sort=A","Dates=H","DateFormat=P","Fill=—","Direction=H","UseDPDF=Y")</f>
        <v>—</v>
      </c>
      <c r="I61" s="18" t="str">
        <f>_xll.BDH("ALNY US Equity","BS_PENSIONS_LT_LIABS","FQ3 2020","FQ3 2020","Currency=USD","Period=FQ","BEST_FPERIOD_OVERRIDE=FQ","FILING_STATUS=MR","SCALING_FORMAT=MLN","Sort=A","Dates=H","DateFormat=P","Fill=—","Direction=H","UseDPDF=Y")</f>
        <v>—</v>
      </c>
      <c r="J61" s="18">
        <f>_xll.BDH("ALNY US Equity","BS_PENSIONS_LT_LIABS","FQ4 2020","FQ4 2020","Currency=USD","Period=FQ","BEST_FPERIOD_OVERRIDE=FQ","FILING_STATUS=MR","SCALING_FORMAT=MLN","Sort=A","Dates=H","DateFormat=P","Fill=—","Direction=H","UseDPDF=Y")</f>
        <v>0</v>
      </c>
      <c r="K61" s="18" t="str">
        <f>_xll.BDH("ALNY US Equity","BS_PENSIONS_LT_LIABS","FQ1 2021","FQ1 2021","Currency=USD","Period=FQ","BEST_FPERIOD_OVERRIDE=FQ","FILING_STATUS=MR","SCALING_FORMAT=MLN","Sort=A","Dates=H","DateFormat=P","Fill=—","Direction=H","UseDPDF=Y")</f>
        <v>—</v>
      </c>
      <c r="L61" s="18" t="str">
        <f>_xll.BDH("ALNY US Equity","BS_PENSIONS_LT_LIABS","FQ2 2021","FQ2 2021","Currency=USD","Period=FQ","BEST_FPERIOD_OVERRIDE=FQ","FILING_STATUS=MR","SCALING_FORMAT=MLN","Sort=A","Dates=H","DateFormat=P","Fill=—","Direction=H","UseDPDF=Y")</f>
        <v>—</v>
      </c>
      <c r="M61" s="18" t="str">
        <f>_xll.BDH("ALNY US Equity","BS_PENSIONS_LT_LIABS","FQ3 2021","FQ3 2021","Currency=USD","Period=FQ","BEST_FPERIOD_OVERRIDE=FQ","FILING_STATUS=MR","SCALING_FORMAT=MLN","Sort=A","Dates=H","DateFormat=P","Fill=—","Direction=H","UseDPDF=Y")</f>
        <v>—</v>
      </c>
      <c r="N61" s="18">
        <f>_xll.BDH("ALNY US Equity","BS_PENSIONS_LT_LIABS","FQ4 2021","FQ4 2021","Currency=USD","Period=FQ","BEST_FPERIOD_OVERRIDE=FQ","FILING_STATUS=MR","SCALING_FORMAT=MLN","Sort=A","Dates=H","DateFormat=P","Fill=—","Direction=H","UseDPDF=Y")</f>
        <v>0</v>
      </c>
      <c r="O61" s="18" t="str">
        <f>_xll.BDH("ALNY US Equity","BS_PENSIONS_LT_LIABS","FQ1 2022","FQ1 2022","Currency=USD","Period=FQ","BEST_FPERIOD_OVERRIDE=FQ","FILING_STATUS=MR","SCALING_FORMAT=MLN","Sort=A","Dates=H","DateFormat=P","Fill=—","Direction=H","UseDPDF=Y")</f>
        <v>—</v>
      </c>
      <c r="P61" s="18" t="str">
        <f>_xll.BDH("ALNY US Equity","BS_PENSIONS_LT_LIABS","FQ2 2022","FQ2 2022","Currency=USD","Period=FQ","BEST_FPERIOD_OVERRIDE=FQ","FILING_STATUS=MR","SCALING_FORMAT=MLN","Sort=A","Dates=H","DateFormat=P","Fill=—","Direction=H","UseDPDF=Y")</f>
        <v>—</v>
      </c>
      <c r="Q61" s="18" t="str">
        <f>_xll.BDH("ALNY US Equity","BS_PENSIONS_LT_LIABS","FQ3 2022","FQ3 2022","Currency=USD","Period=FQ","BEST_FPERIOD_OVERRIDE=FQ","FILING_STATUS=MR","SCALING_FORMAT=MLN","Sort=A","Dates=H","DateFormat=P","Fill=—","Direction=H","UseDPDF=Y")</f>
        <v>—</v>
      </c>
      <c r="R61" s="18">
        <f>_xll.BDH("ALNY US Equity","BS_PENSIONS_LT_LIABS","FQ4 2022","FQ4 2022","Currency=USD","Period=FQ","BEST_FPERIOD_OVERRIDE=FQ","FILING_STATUS=MR","SCALING_FORMAT=MLN","Sort=A","Dates=H","DateFormat=P","Fill=—","Direction=H","UseDPDF=Y")</f>
        <v>0</v>
      </c>
      <c r="S61" s="18" t="str">
        <f>_xll.BDH("ALNY US Equity","BS_PENSIONS_LT_LIABS","FQ1 2023","FQ1 2023","Currency=USD","Period=FQ","BEST_FPERIOD_OVERRIDE=FQ","FILING_STATUS=MR","SCALING_FORMAT=MLN","Sort=A","Dates=H","DateFormat=P","Fill=—","Direction=H","UseDPDF=Y")</f>
        <v>—</v>
      </c>
      <c r="T61" s="18" t="str">
        <f>_xll.BDH("ALNY US Equity","BS_PENSIONS_LT_LIABS","FQ2 2023","FQ2 2023","Currency=USD","Period=FQ","BEST_FPERIOD_OVERRIDE=FQ","FILING_STATUS=MR","SCALING_FORMAT=MLN","Sort=A","Dates=H","DateFormat=P","Fill=—","Direction=H","UseDPDF=Y")</f>
        <v>—</v>
      </c>
      <c r="U61" s="18" t="str">
        <f>_xll.BDH("ALNY US Equity","BS_PENSIONS_LT_LIABS","FQ3 2023","FQ3 2023","Currency=USD","Period=FQ","BEST_FPERIOD_OVERRIDE=FQ","FILING_STATUS=MR","SCALING_FORMAT=MLN","Sort=A","Dates=H","DateFormat=P","Fill=—","Direction=H","UseDPDF=Y")</f>
        <v>—</v>
      </c>
      <c r="V61" s="18">
        <f>_xll.BDH("ALNY US Equity","BS_PENSIONS_LT_LIABS","FQ4 2023","FQ4 2023","Currency=USD","Period=FQ","BEST_FPERIOD_OVERRIDE=FQ","FILING_STATUS=MR","SCALING_FORMAT=MLN","Sort=A","Dates=H","DateFormat=P","Fill=—","Direction=H","UseDPDF=Y")</f>
        <v>0</v>
      </c>
      <c r="W61" s="18" t="str">
        <f>_xll.BDH("ALNY US Equity","BS_PENSIONS_LT_LIABS","FQ1 2024","FQ1 2024","Currency=USD","Period=FQ","BEST_FPERIOD_OVERRIDE=FQ","FILING_STATUS=MR","SCALING_FORMAT=MLN","Sort=A","Dates=H","DateFormat=P","Fill=—","Direction=H","UseDPDF=Y")</f>
        <v>—</v>
      </c>
      <c r="X61" s="18" t="str">
        <f>_xll.BDH("ALNY US Equity","BS_PENSIONS_LT_LIABS","FQ2 2024","FQ2 2024","Currency=USD","Period=FQ","BEST_FPERIOD_OVERRIDE=FQ","FILING_STATUS=MR","SCALING_FORMAT=MLN","Sort=A","Dates=H","DateFormat=P","Fill=—","Direction=H","UseDPDF=Y")</f>
        <v>—</v>
      </c>
      <c r="Y61" s="18" t="str">
        <f>_xll.BDH("ALNY US Equity","BS_PENSIONS_LT_LIABS","FQ3 2024","FQ3 2024","Currency=USD","Period=FQ","BEST_FPERIOD_OVERRIDE=FQ","FILING_STATUS=MR","SCALING_FORMAT=MLN","Sort=A","Dates=H","DateFormat=P","Fill=—","Direction=H","UseDPDF=Y")</f>
        <v>—</v>
      </c>
      <c r="Z61" s="18">
        <f>_xll.BDH("ALNY US Equity","BS_PENSIONS_LT_LIABS","FQ4 2024","FQ4 2024","Currency=USD","Period=FQ","BEST_FPERIOD_OVERRIDE=FQ","FILING_STATUS=MR","SCALING_FORMAT=MLN","Sort=A","Dates=H","DateFormat=P","Fill=—","Direction=H","UseDPDF=Y")</f>
        <v>0</v>
      </c>
    </row>
    <row r="62" spans="1:26" x14ac:dyDescent="0.25">
      <c r="A62" s="11" t="s">
        <v>280</v>
      </c>
      <c r="B62" s="11" t="s">
        <v>281</v>
      </c>
      <c r="C62" s="18" t="str">
        <f>_xll.BDH("ALNY US Equity","BS_OPRB_LT_LIABS","FQ1 2019","FQ1 2019","Currency=USD","Period=FQ","BEST_FPERIOD_OVERRIDE=FQ","FILING_STATUS=MR","SCALING_FORMAT=MLN","Sort=A","Dates=H","DateFormat=P","Fill=—","Direction=H","UseDPDF=Y")</f>
        <v>—</v>
      </c>
      <c r="D62" s="18" t="str">
        <f>_xll.BDH("ALNY US Equity","BS_OPRB_LT_LIABS","FQ2 2019","FQ2 2019","Currency=USD","Period=FQ","BEST_FPERIOD_OVERRIDE=FQ","FILING_STATUS=MR","SCALING_FORMAT=MLN","Sort=A","Dates=H","DateFormat=P","Fill=—","Direction=H","UseDPDF=Y")</f>
        <v>—</v>
      </c>
      <c r="E62" s="18" t="str">
        <f>_xll.BDH("ALNY US Equity","BS_OPRB_LT_LIABS","FQ3 2019","FQ3 2019","Currency=USD","Period=FQ","BEST_FPERIOD_OVERRIDE=FQ","FILING_STATUS=MR","SCALING_FORMAT=MLN","Sort=A","Dates=H","DateFormat=P","Fill=—","Direction=H","UseDPDF=Y")</f>
        <v>—</v>
      </c>
      <c r="F62" s="18">
        <f>_xll.BDH("ALNY US Equity","BS_OPRB_LT_LIABS","FQ4 2019","FQ4 2019","Currency=USD","Period=FQ","BEST_FPERIOD_OVERRIDE=FQ","FILING_STATUS=MR","SCALING_FORMAT=MLN","Sort=A","Dates=H","DateFormat=P","Fill=—","Direction=H","UseDPDF=Y")</f>
        <v>0</v>
      </c>
      <c r="G62" s="18" t="str">
        <f>_xll.BDH("ALNY US Equity","BS_OPRB_LT_LIABS","FQ1 2020","FQ1 2020","Currency=USD","Period=FQ","BEST_FPERIOD_OVERRIDE=FQ","FILING_STATUS=MR","SCALING_FORMAT=MLN","Sort=A","Dates=H","DateFormat=P","Fill=—","Direction=H","UseDPDF=Y")</f>
        <v>—</v>
      </c>
      <c r="H62" s="18" t="str">
        <f>_xll.BDH("ALNY US Equity","BS_OPRB_LT_LIABS","FQ2 2020","FQ2 2020","Currency=USD","Period=FQ","BEST_FPERIOD_OVERRIDE=FQ","FILING_STATUS=MR","SCALING_FORMAT=MLN","Sort=A","Dates=H","DateFormat=P","Fill=—","Direction=H","UseDPDF=Y")</f>
        <v>—</v>
      </c>
      <c r="I62" s="18" t="str">
        <f>_xll.BDH("ALNY US Equity","BS_OPRB_LT_LIABS","FQ3 2020","FQ3 2020","Currency=USD","Period=FQ","BEST_FPERIOD_OVERRIDE=FQ","FILING_STATUS=MR","SCALING_FORMAT=MLN","Sort=A","Dates=H","DateFormat=P","Fill=—","Direction=H","UseDPDF=Y")</f>
        <v>—</v>
      </c>
      <c r="J62" s="18">
        <f>_xll.BDH("ALNY US Equity","BS_OPRB_LT_LIABS","FQ4 2020","FQ4 2020","Currency=USD","Period=FQ","BEST_FPERIOD_OVERRIDE=FQ","FILING_STATUS=MR","SCALING_FORMAT=MLN","Sort=A","Dates=H","DateFormat=P","Fill=—","Direction=H","UseDPDF=Y")</f>
        <v>0</v>
      </c>
      <c r="K62" s="18" t="str">
        <f>_xll.BDH("ALNY US Equity","BS_OPRB_LT_LIABS","FQ1 2021","FQ1 2021","Currency=USD","Period=FQ","BEST_FPERIOD_OVERRIDE=FQ","FILING_STATUS=MR","SCALING_FORMAT=MLN","Sort=A","Dates=H","DateFormat=P","Fill=—","Direction=H","UseDPDF=Y")</f>
        <v>—</v>
      </c>
      <c r="L62" s="18" t="str">
        <f>_xll.BDH("ALNY US Equity","BS_OPRB_LT_LIABS","FQ2 2021","FQ2 2021","Currency=USD","Period=FQ","BEST_FPERIOD_OVERRIDE=FQ","FILING_STATUS=MR","SCALING_FORMAT=MLN","Sort=A","Dates=H","DateFormat=P","Fill=—","Direction=H","UseDPDF=Y")</f>
        <v>—</v>
      </c>
      <c r="M62" s="18" t="str">
        <f>_xll.BDH("ALNY US Equity","BS_OPRB_LT_LIABS","FQ3 2021","FQ3 2021","Currency=USD","Period=FQ","BEST_FPERIOD_OVERRIDE=FQ","FILING_STATUS=MR","SCALING_FORMAT=MLN","Sort=A","Dates=H","DateFormat=P","Fill=—","Direction=H","UseDPDF=Y")</f>
        <v>—</v>
      </c>
      <c r="N62" s="18">
        <f>_xll.BDH("ALNY US Equity","BS_OPRB_LT_LIABS","FQ4 2021","FQ4 2021","Currency=USD","Period=FQ","BEST_FPERIOD_OVERRIDE=FQ","FILING_STATUS=MR","SCALING_FORMAT=MLN","Sort=A","Dates=H","DateFormat=P","Fill=—","Direction=H","UseDPDF=Y")</f>
        <v>0</v>
      </c>
      <c r="O62" s="18" t="str">
        <f>_xll.BDH("ALNY US Equity","BS_OPRB_LT_LIABS","FQ1 2022","FQ1 2022","Currency=USD","Period=FQ","BEST_FPERIOD_OVERRIDE=FQ","FILING_STATUS=MR","SCALING_FORMAT=MLN","Sort=A","Dates=H","DateFormat=P","Fill=—","Direction=H","UseDPDF=Y")</f>
        <v>—</v>
      </c>
      <c r="P62" s="18" t="str">
        <f>_xll.BDH("ALNY US Equity","BS_OPRB_LT_LIABS","FQ2 2022","FQ2 2022","Currency=USD","Period=FQ","BEST_FPERIOD_OVERRIDE=FQ","FILING_STATUS=MR","SCALING_FORMAT=MLN","Sort=A","Dates=H","DateFormat=P","Fill=—","Direction=H","UseDPDF=Y")</f>
        <v>—</v>
      </c>
      <c r="Q62" s="18" t="str">
        <f>_xll.BDH("ALNY US Equity","BS_OPRB_LT_LIABS","FQ3 2022","FQ3 2022","Currency=USD","Period=FQ","BEST_FPERIOD_OVERRIDE=FQ","FILING_STATUS=MR","SCALING_FORMAT=MLN","Sort=A","Dates=H","DateFormat=P","Fill=—","Direction=H","UseDPDF=Y")</f>
        <v>—</v>
      </c>
      <c r="R62" s="18">
        <f>_xll.BDH("ALNY US Equity","BS_OPRB_LT_LIABS","FQ4 2022","FQ4 2022","Currency=USD","Period=FQ","BEST_FPERIOD_OVERRIDE=FQ","FILING_STATUS=MR","SCALING_FORMAT=MLN","Sort=A","Dates=H","DateFormat=P","Fill=—","Direction=H","UseDPDF=Y")</f>
        <v>0</v>
      </c>
      <c r="S62" s="18" t="str">
        <f>_xll.BDH("ALNY US Equity","BS_OPRB_LT_LIABS","FQ1 2023","FQ1 2023","Currency=USD","Period=FQ","BEST_FPERIOD_OVERRIDE=FQ","FILING_STATUS=MR","SCALING_FORMAT=MLN","Sort=A","Dates=H","DateFormat=P","Fill=—","Direction=H","UseDPDF=Y")</f>
        <v>—</v>
      </c>
      <c r="T62" s="18" t="str">
        <f>_xll.BDH("ALNY US Equity","BS_OPRB_LT_LIABS","FQ2 2023","FQ2 2023","Currency=USD","Period=FQ","BEST_FPERIOD_OVERRIDE=FQ","FILING_STATUS=MR","SCALING_FORMAT=MLN","Sort=A","Dates=H","DateFormat=P","Fill=—","Direction=H","UseDPDF=Y")</f>
        <v>—</v>
      </c>
      <c r="U62" s="18" t="str">
        <f>_xll.BDH("ALNY US Equity","BS_OPRB_LT_LIABS","FQ3 2023","FQ3 2023","Currency=USD","Period=FQ","BEST_FPERIOD_OVERRIDE=FQ","FILING_STATUS=MR","SCALING_FORMAT=MLN","Sort=A","Dates=H","DateFormat=P","Fill=—","Direction=H","UseDPDF=Y")</f>
        <v>—</v>
      </c>
      <c r="V62" s="18">
        <f>_xll.BDH("ALNY US Equity","BS_OPRB_LT_LIABS","FQ4 2023","FQ4 2023","Currency=USD","Period=FQ","BEST_FPERIOD_OVERRIDE=FQ","FILING_STATUS=MR","SCALING_FORMAT=MLN","Sort=A","Dates=H","DateFormat=P","Fill=—","Direction=H","UseDPDF=Y")</f>
        <v>0</v>
      </c>
      <c r="W62" s="18" t="str">
        <f>_xll.BDH("ALNY US Equity","BS_OPRB_LT_LIABS","FQ1 2024","FQ1 2024","Currency=USD","Period=FQ","BEST_FPERIOD_OVERRIDE=FQ","FILING_STATUS=MR","SCALING_FORMAT=MLN","Sort=A","Dates=H","DateFormat=P","Fill=—","Direction=H","UseDPDF=Y")</f>
        <v>—</v>
      </c>
      <c r="X62" s="18" t="str">
        <f>_xll.BDH("ALNY US Equity","BS_OPRB_LT_LIABS","FQ2 2024","FQ2 2024","Currency=USD","Period=FQ","BEST_FPERIOD_OVERRIDE=FQ","FILING_STATUS=MR","SCALING_FORMAT=MLN","Sort=A","Dates=H","DateFormat=P","Fill=—","Direction=H","UseDPDF=Y")</f>
        <v>—</v>
      </c>
      <c r="Y62" s="18" t="str">
        <f>_xll.BDH("ALNY US Equity","BS_OPRB_LT_LIABS","FQ3 2024","FQ3 2024","Currency=USD","Period=FQ","BEST_FPERIOD_OVERRIDE=FQ","FILING_STATUS=MR","SCALING_FORMAT=MLN","Sort=A","Dates=H","DateFormat=P","Fill=—","Direction=H","UseDPDF=Y")</f>
        <v>—</v>
      </c>
      <c r="Z62" s="18">
        <f>_xll.BDH("ALNY US Equity","BS_OPRB_LT_LIABS","FQ4 2024","FQ4 2024","Currency=USD","Period=FQ","BEST_FPERIOD_OVERRIDE=FQ","FILING_STATUS=MR","SCALING_FORMAT=MLN","Sort=A","Dates=H","DateFormat=P","Fill=—","Direction=H","UseDPDF=Y")</f>
        <v>0</v>
      </c>
    </row>
    <row r="63" spans="1:26" x14ac:dyDescent="0.25">
      <c r="A63" s="10" t="s">
        <v>254</v>
      </c>
      <c r="B63" s="10" t="s">
        <v>282</v>
      </c>
      <c r="C63" s="13">
        <f>_xll.BDH("ALNY US Equity","LT_DEFERRED_REVENUE","FQ1 2019","FQ1 2019","Currency=USD","Period=FQ","BEST_FPERIOD_OVERRIDE=FQ","FILING_STATUS=MR","SCALING_FORMAT=MLN","Sort=A","Dates=H","DateFormat=P","Fill=—","Direction=H","UseDPDF=Y")</f>
        <v>0.47799999999999998</v>
      </c>
      <c r="D63" s="13">
        <f>_xll.BDH("ALNY US Equity","LT_DEFERRED_REVENUE","FQ2 2019","FQ2 2019","Currency=USD","Period=FQ","BEST_FPERIOD_OVERRIDE=FQ","FILING_STATUS=MR","SCALING_FORMAT=MLN","Sort=A","Dates=H","DateFormat=P","Fill=—","Direction=H","UseDPDF=Y")</f>
        <v>313.887</v>
      </c>
      <c r="E63" s="13">
        <f>_xll.BDH("ALNY US Equity","LT_DEFERRED_REVENUE","FQ3 2019","FQ3 2019","Currency=USD","Period=FQ","BEST_FPERIOD_OVERRIDE=FQ","FILING_STATUS=MR","SCALING_FORMAT=MLN","Sort=A","Dates=H","DateFormat=P","Fill=—","Direction=H","UseDPDF=Y")</f>
        <v>296.17899999999997</v>
      </c>
      <c r="F63" s="13">
        <f>_xll.BDH("ALNY US Equity","LT_DEFERRED_REVENUE","FQ4 2019","FQ4 2019","Currency=USD","Period=FQ","BEST_FPERIOD_OVERRIDE=FQ","FILING_STATUS=MR","SCALING_FORMAT=MLN","Sort=A","Dates=H","DateFormat=P","Fill=—","Direction=H","UseDPDF=Y")</f>
        <v>318.38299999999998</v>
      </c>
      <c r="G63" s="13">
        <f>_xll.BDH("ALNY US Equity","LT_DEFERRED_REVENUE","FQ1 2020","FQ1 2020","Currency=USD","Period=FQ","BEST_FPERIOD_OVERRIDE=FQ","FILING_STATUS=MR","SCALING_FORMAT=MLN","Sort=A","Dates=H","DateFormat=P","Fill=—","Direction=H","UseDPDF=Y")</f>
        <v>306.12400000000002</v>
      </c>
      <c r="H63" s="13">
        <f>_xll.BDH("ALNY US Equity","LT_DEFERRED_REVENUE","FQ2 2020","FQ2 2020","Currency=USD","Period=FQ","BEST_FPERIOD_OVERRIDE=FQ","FILING_STATUS=MR","SCALING_FORMAT=MLN","Sort=A","Dates=H","DateFormat=P","Fill=—","Direction=H","UseDPDF=Y")</f>
        <v>281.52999999999997</v>
      </c>
      <c r="I63" s="13">
        <f>_xll.BDH("ALNY US Equity","LT_DEFERRED_REVENUE","FQ3 2020","FQ3 2020","Currency=USD","Period=FQ","BEST_FPERIOD_OVERRIDE=FQ","FILING_STATUS=MR","SCALING_FORMAT=MLN","Sort=A","Dates=H","DateFormat=P","Fill=—","Direction=H","UseDPDF=Y")</f>
        <v>265.70800000000003</v>
      </c>
      <c r="J63" s="13">
        <f>_xll.BDH("ALNY US Equity","LT_DEFERRED_REVENUE","FQ4 2020","FQ4 2020","Currency=USD","Period=FQ","BEST_FPERIOD_OVERRIDE=FQ","FILING_STATUS=MR","SCALING_FORMAT=MLN","Sort=A","Dates=H","DateFormat=P","Fill=—","Direction=H","UseDPDF=Y")</f>
        <v>225.09399999999999</v>
      </c>
      <c r="K63" s="13">
        <f>_xll.BDH("ALNY US Equity","LT_DEFERRED_REVENUE","FQ1 2021","FQ1 2021","Currency=USD","Period=FQ","BEST_FPERIOD_OVERRIDE=FQ","FILING_STATUS=MR","SCALING_FORMAT=MLN","Sort=A","Dates=H","DateFormat=P","Fill=—","Direction=H","UseDPDF=Y")</f>
        <v>208.12299999999999</v>
      </c>
      <c r="L63" s="13">
        <f>_xll.BDH("ALNY US Equity","LT_DEFERRED_REVENUE","FQ2 2021","FQ2 2021","Currency=USD","Period=FQ","BEST_FPERIOD_OVERRIDE=FQ","FILING_STATUS=MR","SCALING_FORMAT=MLN","Sort=A","Dates=H","DateFormat=P","Fill=—","Direction=H","UseDPDF=Y")</f>
        <v>202.39099999999999</v>
      </c>
      <c r="M63" s="13">
        <f>_xll.BDH("ALNY US Equity","LT_DEFERRED_REVENUE","FQ3 2021","FQ3 2021","Currency=USD","Period=FQ","BEST_FPERIOD_OVERRIDE=FQ","FILING_STATUS=MR","SCALING_FORMAT=MLN","Sort=A","Dates=H","DateFormat=P","Fill=—","Direction=H","UseDPDF=Y")</f>
        <v>177.12299999999999</v>
      </c>
      <c r="N63" s="13">
        <f>_xll.BDH("ALNY US Equity","LT_DEFERRED_REVENUE","FQ4 2021","FQ4 2021","Currency=USD","Period=FQ","BEST_FPERIOD_OVERRIDE=FQ","FILING_STATUS=MR","SCALING_FORMAT=MLN","Sort=A","Dates=H","DateFormat=P","Fill=—","Direction=H","UseDPDF=Y")</f>
        <v>152.36000000000001</v>
      </c>
      <c r="O63" s="13">
        <f>_xll.BDH("ALNY US Equity","LT_DEFERRED_REVENUE","FQ1 2022","FQ1 2022","Currency=USD","Period=FQ","BEST_FPERIOD_OVERRIDE=FQ","FILING_STATUS=MR","SCALING_FORMAT=MLN","Sort=A","Dates=H","DateFormat=P","Fill=—","Direction=H","UseDPDF=Y")</f>
        <v>157.66800000000001</v>
      </c>
      <c r="P63" s="13">
        <f>_xll.BDH("ALNY US Equity","LT_DEFERRED_REVENUE","FQ2 2022","FQ2 2022","Currency=USD","Period=FQ","BEST_FPERIOD_OVERRIDE=FQ","FILING_STATUS=MR","SCALING_FORMAT=MLN","Sort=A","Dates=H","DateFormat=P","Fill=—","Direction=H","UseDPDF=Y")</f>
        <v>175.34100000000001</v>
      </c>
      <c r="Q63" s="13">
        <f>_xll.BDH("ALNY US Equity","LT_DEFERRED_REVENUE","FQ3 2022","FQ3 2022","Currency=USD","Period=FQ","BEST_FPERIOD_OVERRIDE=FQ","FILING_STATUS=MR","SCALING_FORMAT=MLN","Sort=A","Dates=H","DateFormat=P","Fill=—","Direction=H","UseDPDF=Y")</f>
        <v>132.93</v>
      </c>
      <c r="R63" s="13">
        <f>_xll.BDH("ALNY US Equity","LT_DEFERRED_REVENUE","FQ4 2022","FQ4 2022","Currency=USD","Period=FQ","BEST_FPERIOD_OVERRIDE=FQ","FILING_STATUS=MR","SCALING_FORMAT=MLN","Sort=A","Dates=H","DateFormat=P","Fill=—","Direction=H","UseDPDF=Y")</f>
        <v>193.791</v>
      </c>
      <c r="S63" s="13">
        <f>_xll.BDH("ALNY US Equity","LT_DEFERRED_REVENUE","FQ1 2023","FQ1 2023","Currency=USD","Period=FQ","BEST_FPERIOD_OVERRIDE=FQ","FILING_STATUS=MR","SCALING_FORMAT=MLN","Sort=A","Dates=H","DateFormat=P","Fill=—","Direction=H","UseDPDF=Y")</f>
        <v>191.25700000000001</v>
      </c>
      <c r="T63" s="13">
        <f>_xll.BDH("ALNY US Equity","LT_DEFERRED_REVENUE","FQ2 2023","FQ2 2023","Currency=USD","Period=FQ","BEST_FPERIOD_OVERRIDE=FQ","FILING_STATUS=MR","SCALING_FORMAT=MLN","Sort=A","Dates=H","DateFormat=P","Fill=—","Direction=H","UseDPDF=Y")</f>
        <v>194.12899999999999</v>
      </c>
      <c r="U63" s="13">
        <f>_xll.BDH("ALNY US Equity","LT_DEFERRED_REVENUE","FQ3 2023","FQ3 2023","Currency=USD","Period=FQ","BEST_FPERIOD_OVERRIDE=FQ","FILING_STATUS=MR","SCALING_FORMAT=MLN","Sort=A","Dates=H","DateFormat=P","Fill=—","Direction=H","UseDPDF=Y")</f>
        <v>196.08600000000001</v>
      </c>
      <c r="V63" s="13">
        <f>_xll.BDH("ALNY US Equity","LT_DEFERRED_REVENUE","FQ4 2023","FQ4 2023","Currency=USD","Period=FQ","BEST_FPERIOD_OVERRIDE=FQ","FILING_STATUS=MR","SCALING_FORMAT=MLN","Sort=A","Dates=H","DateFormat=P","Fill=—","Direction=H","UseDPDF=Y")</f>
        <v>188.17500000000001</v>
      </c>
      <c r="W63" s="13">
        <f>_xll.BDH("ALNY US Equity","LT_DEFERRED_REVENUE","FQ1 2024","FQ1 2024","Currency=USD","Period=FQ","BEST_FPERIOD_OVERRIDE=FQ","FILING_STATUS=MR","SCALING_FORMAT=MLN","Sort=A","Dates=H","DateFormat=P","Fill=—","Direction=H","UseDPDF=Y")</f>
        <v>185.506</v>
      </c>
      <c r="X63" s="13">
        <f>_xll.BDH("ALNY US Equity","LT_DEFERRED_REVENUE","FQ2 2024","FQ2 2024","Currency=USD","Period=FQ","BEST_FPERIOD_OVERRIDE=FQ","FILING_STATUS=MR","SCALING_FORMAT=MLN","Sort=A","Dates=H","DateFormat=P","Fill=—","Direction=H","UseDPDF=Y")</f>
        <v>2.4020000000000001</v>
      </c>
      <c r="Y63" s="13">
        <f>_xll.BDH("ALNY US Equity","LT_DEFERRED_REVENUE","FQ3 2024","FQ3 2024","Currency=USD","Period=FQ","BEST_FPERIOD_OVERRIDE=FQ","FILING_STATUS=MR","SCALING_FORMAT=MLN","Sort=A","Dates=H","DateFormat=P","Fill=—","Direction=H","UseDPDF=Y")</f>
        <v>1.012</v>
      </c>
      <c r="Z63" s="13">
        <f>_xll.BDH("ALNY US Equity","LT_DEFERRED_REVENUE","FQ4 2024","FQ4 2024","Currency=USD","Period=FQ","BEST_FPERIOD_OVERRIDE=FQ","FILING_STATUS=MR","SCALING_FORMAT=MLN","Sort=A","Dates=H","DateFormat=P","Fill=—","Direction=H","UseDPDF=Y")</f>
        <v>0</v>
      </c>
    </row>
    <row r="64" spans="1:26" x14ac:dyDescent="0.25">
      <c r="A64" s="10" t="s">
        <v>256</v>
      </c>
      <c r="B64" s="10" t="s">
        <v>283</v>
      </c>
      <c r="C64" s="13" t="str">
        <f>_xll.BDH("ALNY US Equity","BS_DERIV_HEDGING_LIAB_LT","FQ1 2019","FQ1 2019","Currency=USD","Period=FQ","BEST_FPERIOD_OVERRIDE=FQ","FILING_STATUS=MR","SCALING_FORMAT=MLN","Sort=A","Dates=H","DateFormat=P","Fill=—","Direction=H","UseDPDF=Y")</f>
        <v>—</v>
      </c>
      <c r="D64" s="13" t="str">
        <f>_xll.BDH("ALNY US Equity","BS_DERIV_HEDGING_LIAB_LT","FQ2 2019","FQ2 2019","Currency=USD","Period=FQ","BEST_FPERIOD_OVERRIDE=FQ","FILING_STATUS=MR","SCALING_FORMAT=MLN","Sort=A","Dates=H","DateFormat=P","Fill=—","Direction=H","UseDPDF=Y")</f>
        <v>—</v>
      </c>
      <c r="E64" s="13" t="str">
        <f>_xll.BDH("ALNY US Equity","BS_DERIV_HEDGING_LIAB_LT","FQ3 2019","FQ3 2019","Currency=USD","Period=FQ","BEST_FPERIOD_OVERRIDE=FQ","FILING_STATUS=MR","SCALING_FORMAT=MLN","Sort=A","Dates=H","DateFormat=P","Fill=—","Direction=H","UseDPDF=Y")</f>
        <v>—</v>
      </c>
      <c r="F64" s="13">
        <f>_xll.BDH("ALNY US Equity","BS_DERIV_HEDGING_LIAB_LT","FQ4 2019","FQ4 2019","Currency=USD","Period=FQ","BEST_FPERIOD_OVERRIDE=FQ","FILING_STATUS=MR","SCALING_FORMAT=MLN","Sort=A","Dates=H","DateFormat=P","Fill=—","Direction=H","UseDPDF=Y")</f>
        <v>0</v>
      </c>
      <c r="G64" s="13" t="str">
        <f>_xll.BDH("ALNY US Equity","BS_DERIV_HEDGING_LIAB_LT","FQ1 2020","FQ1 2020","Currency=USD","Period=FQ","BEST_FPERIOD_OVERRIDE=FQ","FILING_STATUS=MR","SCALING_FORMAT=MLN","Sort=A","Dates=H","DateFormat=P","Fill=—","Direction=H","UseDPDF=Y")</f>
        <v>—</v>
      </c>
      <c r="H64" s="13" t="str">
        <f>_xll.BDH("ALNY US Equity","BS_DERIV_HEDGING_LIAB_LT","FQ2 2020","FQ2 2020","Currency=USD","Period=FQ","BEST_FPERIOD_OVERRIDE=FQ","FILING_STATUS=MR","SCALING_FORMAT=MLN","Sort=A","Dates=H","DateFormat=P","Fill=—","Direction=H","UseDPDF=Y")</f>
        <v>—</v>
      </c>
      <c r="I64" s="13" t="str">
        <f>_xll.BDH("ALNY US Equity","BS_DERIV_HEDGING_LIAB_LT","FQ3 2020","FQ3 2020","Currency=USD","Period=FQ","BEST_FPERIOD_OVERRIDE=FQ","FILING_STATUS=MR","SCALING_FORMAT=MLN","Sort=A","Dates=H","DateFormat=P","Fill=—","Direction=H","UseDPDF=Y")</f>
        <v>—</v>
      </c>
      <c r="J64" s="13">
        <f>_xll.BDH("ALNY US Equity","BS_DERIV_HEDGING_LIAB_LT","FQ4 2020","FQ4 2020","Currency=USD","Period=FQ","BEST_FPERIOD_OVERRIDE=FQ","FILING_STATUS=MR","SCALING_FORMAT=MLN","Sort=A","Dates=H","DateFormat=P","Fill=—","Direction=H","UseDPDF=Y")</f>
        <v>0</v>
      </c>
      <c r="K64" s="13" t="str">
        <f>_xll.BDH("ALNY US Equity","BS_DERIV_HEDGING_LIAB_LT","FQ1 2021","FQ1 2021","Currency=USD","Period=FQ","BEST_FPERIOD_OVERRIDE=FQ","FILING_STATUS=MR","SCALING_FORMAT=MLN","Sort=A","Dates=H","DateFormat=P","Fill=—","Direction=H","UseDPDF=Y")</f>
        <v>—</v>
      </c>
      <c r="L64" s="13" t="str">
        <f>_xll.BDH("ALNY US Equity","BS_DERIV_HEDGING_LIAB_LT","FQ2 2021","FQ2 2021","Currency=USD","Period=FQ","BEST_FPERIOD_OVERRIDE=FQ","FILING_STATUS=MR","SCALING_FORMAT=MLN","Sort=A","Dates=H","DateFormat=P","Fill=—","Direction=H","UseDPDF=Y")</f>
        <v>—</v>
      </c>
      <c r="M64" s="13" t="str">
        <f>_xll.BDH("ALNY US Equity","BS_DERIV_HEDGING_LIAB_LT","FQ3 2021","FQ3 2021","Currency=USD","Period=FQ","BEST_FPERIOD_OVERRIDE=FQ","FILING_STATUS=MR","SCALING_FORMAT=MLN","Sort=A","Dates=H","DateFormat=P","Fill=—","Direction=H","UseDPDF=Y")</f>
        <v>—</v>
      </c>
      <c r="N64" s="13">
        <f>_xll.BDH("ALNY US Equity","BS_DERIV_HEDGING_LIAB_LT","FQ4 2021","FQ4 2021","Currency=USD","Period=FQ","BEST_FPERIOD_OVERRIDE=FQ","FILING_STATUS=MR","SCALING_FORMAT=MLN","Sort=A","Dates=H","DateFormat=P","Fill=—","Direction=H","UseDPDF=Y")</f>
        <v>0</v>
      </c>
      <c r="O64" s="13" t="str">
        <f>_xll.BDH("ALNY US Equity","BS_DERIV_HEDGING_LIAB_LT","FQ1 2022","FQ1 2022","Currency=USD","Period=FQ","BEST_FPERIOD_OVERRIDE=FQ","FILING_STATUS=MR","SCALING_FORMAT=MLN","Sort=A","Dates=H","DateFormat=P","Fill=—","Direction=H","UseDPDF=Y")</f>
        <v>—</v>
      </c>
      <c r="P64" s="13" t="str">
        <f>_xll.BDH("ALNY US Equity","BS_DERIV_HEDGING_LIAB_LT","FQ2 2022","FQ2 2022","Currency=USD","Period=FQ","BEST_FPERIOD_OVERRIDE=FQ","FILING_STATUS=MR","SCALING_FORMAT=MLN","Sort=A","Dates=H","DateFormat=P","Fill=—","Direction=H","UseDPDF=Y")</f>
        <v>—</v>
      </c>
      <c r="Q64" s="13" t="str">
        <f>_xll.BDH("ALNY US Equity","BS_DERIV_HEDGING_LIAB_LT","FQ3 2022","FQ3 2022","Currency=USD","Period=FQ","BEST_FPERIOD_OVERRIDE=FQ","FILING_STATUS=MR","SCALING_FORMAT=MLN","Sort=A","Dates=H","DateFormat=P","Fill=—","Direction=H","UseDPDF=Y")</f>
        <v>—</v>
      </c>
      <c r="R64" s="13">
        <f>_xll.BDH("ALNY US Equity","BS_DERIV_HEDGING_LIAB_LT","FQ4 2022","FQ4 2022","Currency=USD","Period=FQ","BEST_FPERIOD_OVERRIDE=FQ","FILING_STATUS=MR","SCALING_FORMAT=MLN","Sort=A","Dates=H","DateFormat=P","Fill=—","Direction=H","UseDPDF=Y")</f>
        <v>0</v>
      </c>
      <c r="S64" s="13" t="str">
        <f>_xll.BDH("ALNY US Equity","BS_DERIV_HEDGING_LIAB_LT","FQ1 2023","FQ1 2023","Currency=USD","Period=FQ","BEST_FPERIOD_OVERRIDE=FQ","FILING_STATUS=MR","SCALING_FORMAT=MLN","Sort=A","Dates=H","DateFormat=P","Fill=—","Direction=H","UseDPDF=Y")</f>
        <v>—</v>
      </c>
      <c r="T64" s="13" t="str">
        <f>_xll.BDH("ALNY US Equity","BS_DERIV_HEDGING_LIAB_LT","FQ2 2023","FQ2 2023","Currency=USD","Period=FQ","BEST_FPERIOD_OVERRIDE=FQ","FILING_STATUS=MR","SCALING_FORMAT=MLN","Sort=A","Dates=H","DateFormat=P","Fill=—","Direction=H","UseDPDF=Y")</f>
        <v>—</v>
      </c>
      <c r="U64" s="13" t="str">
        <f>_xll.BDH("ALNY US Equity","BS_DERIV_HEDGING_LIAB_LT","FQ3 2023","FQ3 2023","Currency=USD","Period=FQ","BEST_FPERIOD_OVERRIDE=FQ","FILING_STATUS=MR","SCALING_FORMAT=MLN","Sort=A","Dates=H","DateFormat=P","Fill=—","Direction=H","UseDPDF=Y")</f>
        <v>—</v>
      </c>
      <c r="V64" s="13">
        <f>_xll.BDH("ALNY US Equity","BS_DERIV_HEDGING_LIAB_LT","FQ4 2023","FQ4 2023","Currency=USD","Period=FQ","BEST_FPERIOD_OVERRIDE=FQ","FILING_STATUS=MR","SCALING_FORMAT=MLN","Sort=A","Dates=H","DateFormat=P","Fill=—","Direction=H","UseDPDF=Y")</f>
        <v>0</v>
      </c>
      <c r="W64" s="13" t="str">
        <f>_xll.BDH("ALNY US Equity","BS_DERIV_HEDGING_LIAB_LT","FQ1 2024","FQ1 2024","Currency=USD","Period=FQ","BEST_FPERIOD_OVERRIDE=FQ","FILING_STATUS=MR","SCALING_FORMAT=MLN","Sort=A","Dates=H","DateFormat=P","Fill=—","Direction=H","UseDPDF=Y")</f>
        <v>—</v>
      </c>
      <c r="X64" s="13" t="str">
        <f>_xll.BDH("ALNY US Equity","BS_DERIV_HEDGING_LIAB_LT","FQ2 2024","FQ2 2024","Currency=USD","Period=FQ","BEST_FPERIOD_OVERRIDE=FQ","FILING_STATUS=MR","SCALING_FORMAT=MLN","Sort=A","Dates=H","DateFormat=P","Fill=—","Direction=H","UseDPDF=Y")</f>
        <v>—</v>
      </c>
      <c r="Y64" s="13" t="str">
        <f>_xll.BDH("ALNY US Equity","BS_DERIV_HEDGING_LIAB_LT","FQ3 2024","FQ3 2024","Currency=USD","Period=FQ","BEST_FPERIOD_OVERRIDE=FQ","FILING_STATUS=MR","SCALING_FORMAT=MLN","Sort=A","Dates=H","DateFormat=P","Fill=—","Direction=H","UseDPDF=Y")</f>
        <v>—</v>
      </c>
      <c r="Z64" s="13">
        <f>_xll.BDH("ALNY US Equity","BS_DERIV_HEDGING_LIAB_LT","FQ4 2024","FQ4 2024","Currency=USD","Period=FQ","BEST_FPERIOD_OVERRIDE=FQ","FILING_STATUS=MR","SCALING_FORMAT=MLN","Sort=A","Dates=H","DateFormat=P","Fill=—","Direction=H","UseDPDF=Y")</f>
        <v>0</v>
      </c>
    </row>
    <row r="65" spans="1:26" x14ac:dyDescent="0.25">
      <c r="A65" s="10" t="s">
        <v>284</v>
      </c>
      <c r="B65" s="10" t="s">
        <v>285</v>
      </c>
      <c r="C65" s="13">
        <f>_xll.BDH("ALNY US Equity","OTHER_NONCURRENT_LIABS_DETAILED","FQ1 2019","FQ1 2019","Currency=USD","Period=FQ","BEST_FPERIOD_OVERRIDE=FQ","FILING_STATUS=MR","SCALING_FORMAT=MLN","Sort=A","Dates=H","DateFormat=P","Fill=—","Direction=H","UseDPDF=Y")</f>
        <v>5.0720000000000001</v>
      </c>
      <c r="D65" s="13">
        <f>_xll.BDH("ALNY US Equity","OTHER_NONCURRENT_LIABS_DETAILED","FQ2 2019","FQ2 2019","Currency=USD","Period=FQ","BEST_FPERIOD_OVERRIDE=FQ","FILING_STATUS=MR","SCALING_FORMAT=MLN","Sort=A","Dates=H","DateFormat=P","Fill=—","Direction=H","UseDPDF=Y")</f>
        <v>9.5139999999999993</v>
      </c>
      <c r="E65" s="13">
        <f>_xll.BDH("ALNY US Equity","OTHER_NONCURRENT_LIABS_DETAILED","FQ3 2019","FQ3 2019","Currency=USD","Period=FQ","BEST_FPERIOD_OVERRIDE=FQ","FILING_STATUS=MR","SCALING_FORMAT=MLN","Sort=A","Dates=H","DateFormat=P","Fill=—","Direction=H","UseDPDF=Y")</f>
        <v>9.0359999999999996</v>
      </c>
      <c r="F65" s="13">
        <f>_xll.BDH("ALNY US Equity","OTHER_NONCURRENT_LIABS_DETAILED","FQ4 2019","FQ4 2019","Currency=USD","Period=FQ","BEST_FPERIOD_OVERRIDE=FQ","FILING_STATUS=MR","SCALING_FORMAT=MLN","Sort=A","Dates=H","DateFormat=P","Fill=—","Direction=H","UseDPDF=Y")</f>
        <v>9.33</v>
      </c>
      <c r="G65" s="13">
        <f>_xll.BDH("ALNY US Equity","OTHER_NONCURRENT_LIABS_DETAILED","FQ1 2020","FQ1 2020","Currency=USD","Period=FQ","BEST_FPERIOD_OVERRIDE=FQ","FILING_STATUS=MR","SCALING_FORMAT=MLN","Sort=A","Dates=H","DateFormat=P","Fill=—","Direction=H","UseDPDF=Y")</f>
        <v>9.1980000000000004</v>
      </c>
      <c r="H65" s="13">
        <f>_xll.BDH("ALNY US Equity","OTHER_NONCURRENT_LIABS_DETAILED","FQ2 2020","FQ2 2020","Currency=USD","Period=FQ","BEST_FPERIOD_OVERRIDE=FQ","FILING_STATUS=MR","SCALING_FORMAT=MLN","Sort=A","Dates=H","DateFormat=P","Fill=—","Direction=H","UseDPDF=Y")</f>
        <v>1027.191</v>
      </c>
      <c r="I65" s="13">
        <f>_xll.BDH("ALNY US Equity","OTHER_NONCURRENT_LIABS_DETAILED","FQ3 2020","FQ3 2020","Currency=USD","Period=FQ","BEST_FPERIOD_OVERRIDE=FQ","FILING_STATUS=MR","SCALING_FORMAT=MLN","Sort=A","Dates=H","DateFormat=P","Fill=—","Direction=H","UseDPDF=Y")</f>
        <v>1049.049</v>
      </c>
      <c r="J65" s="13">
        <f>_xll.BDH("ALNY US Equity","OTHER_NONCURRENT_LIABS_DETAILED","FQ4 2020","FQ4 2020","Currency=USD","Period=FQ","BEST_FPERIOD_OVERRIDE=FQ","FILING_STATUS=MR","SCALING_FORMAT=MLN","Sort=A","Dates=H","DateFormat=P","Fill=—","Direction=H","UseDPDF=Y")</f>
        <v>1096.133</v>
      </c>
      <c r="K65" s="13">
        <f>_xll.BDH("ALNY US Equity","OTHER_NONCURRENT_LIABS_DETAILED","FQ1 2021","FQ1 2021","Currency=USD","Period=FQ","BEST_FPERIOD_OVERRIDE=FQ","FILING_STATUS=MR","SCALING_FORMAT=MLN","Sort=A","Dates=H","DateFormat=P","Fill=—","Direction=H","UseDPDF=Y")</f>
        <v>1146.5260000000001</v>
      </c>
      <c r="L65" s="13">
        <f>_xll.BDH("ALNY US Equity","OTHER_NONCURRENT_LIABS_DETAILED","FQ2 2021","FQ2 2021","Currency=USD","Period=FQ","BEST_FPERIOD_OVERRIDE=FQ","FILING_STATUS=MR","SCALING_FORMAT=MLN","Sort=A","Dates=H","DateFormat=P","Fill=—","Direction=H","UseDPDF=Y")</f>
        <v>1177.318</v>
      </c>
      <c r="M65" s="13">
        <f>_xll.BDH("ALNY US Equity","OTHER_NONCURRENT_LIABS_DETAILED","FQ3 2021","FQ3 2021","Currency=USD","Period=FQ","BEST_FPERIOD_OVERRIDE=FQ","FILING_STATUS=MR","SCALING_FORMAT=MLN","Sort=A","Dates=H","DateFormat=P","Fill=—","Direction=H","UseDPDF=Y")</f>
        <v>1208.8119999999999</v>
      </c>
      <c r="N65" s="13">
        <f>_xll.BDH("ALNY US Equity","OTHER_NONCURRENT_LIABS_DETAILED","FQ4 2021","FQ4 2021","Currency=USD","Period=FQ","BEST_FPERIOD_OVERRIDE=FQ","FILING_STATUS=MR","SCALING_FORMAT=MLN","Sort=A","Dates=H","DateFormat=P","Fill=—","Direction=H","UseDPDF=Y")</f>
        <v>1249.9870000000001</v>
      </c>
      <c r="O65" s="13">
        <f>_xll.BDH("ALNY US Equity","OTHER_NONCURRENT_LIABS_DETAILED","FQ1 2022","FQ1 2022","Currency=USD","Period=FQ","BEST_FPERIOD_OVERRIDE=FQ","FILING_STATUS=MR","SCALING_FORMAT=MLN","Sort=A","Dates=H","DateFormat=P","Fill=—","Direction=H","UseDPDF=Y")</f>
        <v>1314.65</v>
      </c>
      <c r="P65" s="13">
        <f>_xll.BDH("ALNY US Equity","OTHER_NONCURRENT_LIABS_DETAILED","FQ2 2022","FQ2 2022","Currency=USD","Period=FQ","BEST_FPERIOD_OVERRIDE=FQ","FILING_STATUS=MR","SCALING_FORMAT=MLN","Sort=A","Dates=H","DateFormat=P","Fill=—","Direction=H","UseDPDF=Y")</f>
        <v>1371.6120000000001</v>
      </c>
      <c r="Q65" s="13">
        <f>_xll.BDH("ALNY US Equity","OTHER_NONCURRENT_LIABS_DETAILED","FQ3 2022","FQ3 2022","Currency=USD","Period=FQ","BEST_FPERIOD_OVERRIDE=FQ","FILING_STATUS=MR","SCALING_FORMAT=MLN","Sort=A","Dates=H","DateFormat=P","Fill=—","Direction=H","UseDPDF=Y")</f>
        <v>1198.9760000000001</v>
      </c>
      <c r="R65" s="13">
        <f>_xll.BDH("ALNY US Equity","OTHER_NONCURRENT_LIABS_DETAILED","FQ4 2022","FQ4 2022","Currency=USD","Period=FQ","BEST_FPERIOD_OVERRIDE=FQ","FILING_STATUS=MR","SCALING_FORMAT=MLN","Sort=A","Dates=H","DateFormat=P","Fill=—","Direction=H","UseDPDF=Y")</f>
        <v>1464.595</v>
      </c>
      <c r="S65" s="13">
        <f>_xll.BDH("ALNY US Equity","OTHER_NONCURRENT_LIABS_DETAILED","FQ1 2023","FQ1 2023","Currency=USD","Period=FQ","BEST_FPERIOD_OVERRIDE=FQ","FILING_STATUS=MR","SCALING_FORMAT=MLN","Sort=A","Dates=H","DateFormat=P","Fill=—","Direction=H","UseDPDF=Y")</f>
        <v>1509.2460000000001</v>
      </c>
      <c r="T65" s="13">
        <f>_xll.BDH("ALNY US Equity","OTHER_NONCURRENT_LIABS_DETAILED","FQ2 2023","FQ2 2023","Currency=USD","Period=FQ","BEST_FPERIOD_OVERRIDE=FQ","FILING_STATUS=MR","SCALING_FORMAT=MLN","Sort=A","Dates=H","DateFormat=P","Fill=—","Direction=H","UseDPDF=Y")</f>
        <v>1555.5</v>
      </c>
      <c r="U65" s="13">
        <f>_xll.BDH("ALNY US Equity","OTHER_NONCURRENT_LIABS_DETAILED","FQ3 2023","FQ3 2023","Currency=USD","Period=FQ","BEST_FPERIOD_OVERRIDE=FQ","FILING_STATUS=MR","SCALING_FORMAT=MLN","Sort=A","Dates=H","DateFormat=P","Fill=—","Direction=H","UseDPDF=Y")</f>
        <v>1591.548</v>
      </c>
      <c r="V65" s="13">
        <f>_xll.BDH("ALNY US Equity","OTHER_NONCURRENT_LIABS_DETAILED","FQ4 2023","FQ4 2023","Currency=USD","Period=FQ","BEST_FPERIOD_OVERRIDE=FQ","FILING_STATUS=MR","SCALING_FORMAT=MLN","Sort=A","Dates=H","DateFormat=P","Fill=—","Direction=H","UseDPDF=Y")</f>
        <v>1630.6859999999999</v>
      </c>
      <c r="W65" s="13">
        <f>_xll.BDH("ALNY US Equity","OTHER_NONCURRENT_LIABS_DETAILED","FQ1 2024","FQ1 2024","Currency=USD","Period=FQ","BEST_FPERIOD_OVERRIDE=FQ","FILING_STATUS=MR","SCALING_FORMAT=MLN","Sort=A","Dates=H","DateFormat=P","Fill=—","Direction=H","UseDPDF=Y")</f>
        <v>1656.8820000000001</v>
      </c>
      <c r="X65" s="13">
        <f>_xll.BDH("ALNY US Equity","OTHER_NONCURRENT_LIABS_DETAILED","FQ2 2024","FQ2 2024","Currency=USD","Period=FQ","BEST_FPERIOD_OVERRIDE=FQ","FILING_STATUS=MR","SCALING_FORMAT=MLN","Sort=A","Dates=H","DateFormat=P","Fill=—","Direction=H","UseDPDF=Y")</f>
        <v>350.428</v>
      </c>
      <c r="Y65" s="13">
        <f>_xll.BDH("ALNY US Equity","OTHER_NONCURRENT_LIABS_DETAILED","FQ3 2024","FQ3 2024","Currency=USD","Period=FQ","BEST_FPERIOD_OVERRIDE=FQ","FILING_STATUS=MR","SCALING_FORMAT=MLN","Sort=A","Dates=H","DateFormat=P","Fill=—","Direction=H","UseDPDF=Y")</f>
        <v>1691.326</v>
      </c>
      <c r="Z65" s="13">
        <f>_xll.BDH("ALNY US Equity","OTHER_NONCURRENT_LIABS_DETAILED","FQ4 2024","FQ4 2024","Currency=USD","Period=FQ","BEST_FPERIOD_OVERRIDE=FQ","FILING_STATUS=MR","SCALING_FORMAT=MLN","Sort=A","Dates=H","DateFormat=P","Fill=—","Direction=H","UseDPDF=Y")</f>
        <v>1732.461</v>
      </c>
    </row>
    <row r="66" spans="1:26" x14ac:dyDescent="0.25">
      <c r="A66" s="6" t="s">
        <v>286</v>
      </c>
      <c r="B66" s="6" t="s">
        <v>287</v>
      </c>
      <c r="C66" s="16">
        <f>_xll.BDH("ALNY US Equity","NON_CUR_LIAB","FQ1 2019","FQ1 2019","Currency=USD","Period=FQ","BEST_FPERIOD_OVERRIDE=FQ","FILING_STATUS=MR","SCALING_FORMAT=MLN","Sort=A","Dates=H","DateFormat=P","Fill=—","Direction=H","UseDPDF=Y")</f>
        <v>317.85000000000002</v>
      </c>
      <c r="D66" s="16">
        <f>_xll.BDH("ALNY US Equity","NON_CUR_LIAB","FQ2 2019","FQ2 2019","Currency=USD","Period=FQ","BEST_FPERIOD_OVERRIDE=FQ","FILING_STATUS=MR","SCALING_FORMAT=MLN","Sort=A","Dates=H","DateFormat=P","Fill=—","Direction=H","UseDPDF=Y")</f>
        <v>630.61199999999997</v>
      </c>
      <c r="E66" s="16">
        <f>_xll.BDH("ALNY US Equity","NON_CUR_LIAB","FQ3 2019","FQ3 2019","Currency=USD","Period=FQ","BEST_FPERIOD_OVERRIDE=FQ","FILING_STATUS=MR","SCALING_FORMAT=MLN","Sort=A","Dates=H","DateFormat=P","Fill=—","Direction=H","UseDPDF=Y")</f>
        <v>581.67100000000005</v>
      </c>
      <c r="F66" s="16">
        <f>_xll.BDH("ALNY US Equity","NON_CUR_LIAB","FQ4 2019","FQ4 2019","Currency=USD","Period=FQ","BEST_FPERIOD_OVERRIDE=FQ","FILING_STATUS=MR","SCALING_FORMAT=MLN","Sort=A","Dates=H","DateFormat=P","Fill=—","Direction=H","UseDPDF=Y")</f>
        <v>603.84799999999996</v>
      </c>
      <c r="G66" s="16">
        <f>_xll.BDH("ALNY US Equity","NON_CUR_LIAB","FQ1 2020","FQ1 2020","Currency=USD","Period=FQ","BEST_FPERIOD_OVERRIDE=FQ","FILING_STATUS=MR","SCALING_FORMAT=MLN","Sort=A","Dates=H","DateFormat=P","Fill=—","Direction=H","UseDPDF=Y")</f>
        <v>591.10400000000004</v>
      </c>
      <c r="H66" s="16">
        <f>_xll.BDH("ALNY US Equity","NON_CUR_LIAB","FQ2 2020","FQ2 2020","Currency=USD","Period=FQ","BEST_FPERIOD_OVERRIDE=FQ","FILING_STATUS=MR","SCALING_FORMAT=MLN","Sort=A","Dates=H","DateFormat=P","Fill=—","Direction=H","UseDPDF=Y")</f>
        <v>1590.3389999999999</v>
      </c>
      <c r="I66" s="16">
        <f>_xll.BDH("ALNY US Equity","NON_CUR_LIAB","FQ3 2020","FQ3 2020","Currency=USD","Period=FQ","BEST_FPERIOD_OVERRIDE=FQ","FILING_STATUS=MR","SCALING_FORMAT=MLN","Sort=A","Dates=H","DateFormat=P","Fill=—","Direction=H","UseDPDF=Y")</f>
        <v>1612.019</v>
      </c>
      <c r="J66" s="16">
        <f>_xll.BDH("ALNY US Equity","NON_CUR_LIAB","FQ4 2020","FQ4 2020","Currency=USD","Period=FQ","BEST_FPERIOD_OVERRIDE=FQ","FILING_STATUS=MR","SCALING_FORMAT=MLN","Sort=A","Dates=H","DateFormat=P","Fill=—","Direction=H","UseDPDF=Y")</f>
        <v>1805.5440000000001</v>
      </c>
      <c r="K66" s="16">
        <f>_xll.BDH("ALNY US Equity","NON_CUR_LIAB","FQ1 2021","FQ1 2021","Currency=USD","Period=FQ","BEST_FPERIOD_OVERRIDE=FQ","FILING_STATUS=MR","SCALING_FORMAT=MLN","Sort=A","Dates=H","DateFormat=P","Fill=—","Direction=H","UseDPDF=Y")</f>
        <v>1834.2539999999999</v>
      </c>
      <c r="L66" s="16">
        <f>_xll.BDH("ALNY US Equity","NON_CUR_LIAB","FQ2 2021","FQ2 2021","Currency=USD","Period=FQ","BEST_FPERIOD_OVERRIDE=FQ","FILING_STATUS=MR","SCALING_FORMAT=MLN","Sort=A","Dates=H","DateFormat=P","Fill=—","Direction=H","UseDPDF=Y")</f>
        <v>2101.4189999999999</v>
      </c>
      <c r="M66" s="16">
        <f>_xll.BDH("ALNY US Equity","NON_CUR_LIAB","FQ3 2021","FQ3 2021","Currency=USD","Period=FQ","BEST_FPERIOD_OVERRIDE=FQ","FILING_STATUS=MR","SCALING_FORMAT=MLN","Sort=A","Dates=H","DateFormat=P","Fill=—","Direction=H","UseDPDF=Y")</f>
        <v>2105.7640000000001</v>
      </c>
      <c r="N66" s="16">
        <f>_xll.BDH("ALNY US Equity","NON_CUR_LIAB","FQ4 2021","FQ4 2021","Currency=USD","Period=FQ","BEST_FPERIOD_OVERRIDE=FQ","FILING_STATUS=MR","SCALING_FORMAT=MLN","Sort=A","Dates=H","DateFormat=P","Fill=—","Direction=H","UseDPDF=Y")</f>
        <v>2359.3910000000001</v>
      </c>
      <c r="O66" s="16">
        <f>_xll.BDH("ALNY US Equity","NON_CUR_LIAB","FQ1 2022","FQ1 2022","Currency=USD","Period=FQ","BEST_FPERIOD_OVERRIDE=FQ","FILING_STATUS=MR","SCALING_FORMAT=MLN","Sort=A","Dates=H","DateFormat=P","Fill=—","Direction=H","UseDPDF=Y")</f>
        <v>2426.4160000000002</v>
      </c>
      <c r="P66" s="16">
        <f>_xll.BDH("ALNY US Equity","NON_CUR_LIAB","FQ2 2022","FQ2 2022","Currency=USD","Period=FQ","BEST_FPERIOD_OVERRIDE=FQ","FILING_STATUS=MR","SCALING_FORMAT=MLN","Sort=A","Dates=H","DateFormat=P","Fill=—","Direction=H","UseDPDF=Y")</f>
        <v>2496.692</v>
      </c>
      <c r="Q66" s="16">
        <f>_xll.BDH("ALNY US Equity","NON_CUR_LIAB","FQ3 2022","FQ3 2022","Currency=USD","Period=FQ","BEST_FPERIOD_OVERRIDE=FQ","FILING_STATUS=MR","SCALING_FORMAT=MLN","Sort=A","Dates=H","DateFormat=P","Fill=—","Direction=H","UseDPDF=Y")</f>
        <v>2830.1019999999999</v>
      </c>
      <c r="R66" s="16">
        <f>_xll.BDH("ALNY US Equity","NON_CUR_LIAB","FQ4 2022","FQ4 2022","Currency=USD","Period=FQ","BEST_FPERIOD_OVERRIDE=FQ","FILING_STATUS=MR","SCALING_FORMAT=MLN","Sort=A","Dates=H","DateFormat=P","Fill=—","Direction=H","UseDPDF=Y")</f>
        <v>2936.6669999999999</v>
      </c>
      <c r="S66" s="16">
        <f>_xll.BDH("ALNY US Equity","NON_CUR_LIAB","FQ1 2023","FQ1 2023","Currency=USD","Period=FQ","BEST_FPERIOD_OVERRIDE=FQ","FILING_STATUS=MR","SCALING_FORMAT=MLN","Sort=A","Dates=H","DateFormat=P","Fill=—","Direction=H","UseDPDF=Y")</f>
        <v>2977.7890000000002</v>
      </c>
      <c r="T66" s="16">
        <f>_xll.BDH("ALNY US Equity","NON_CUR_LIAB","FQ2 2023","FQ2 2023","Currency=USD","Period=FQ","BEST_FPERIOD_OVERRIDE=FQ","FILING_STATUS=MR","SCALING_FORMAT=MLN","Sort=A","Dates=H","DateFormat=P","Fill=—","Direction=H","UseDPDF=Y")</f>
        <v>3021.8879999999999</v>
      </c>
      <c r="U66" s="16">
        <f>_xll.BDH("ALNY US Equity","NON_CUR_LIAB","FQ3 2023","FQ3 2023","Currency=USD","Period=FQ","BEST_FPERIOD_OVERRIDE=FQ","FILING_STATUS=MR","SCALING_FORMAT=MLN","Sort=A","Dates=H","DateFormat=P","Fill=—","Direction=H","UseDPDF=Y")</f>
        <v>3055.154</v>
      </c>
      <c r="V66" s="16">
        <f>_xll.BDH("ALNY US Equity","NON_CUR_LIAB","FQ4 2023","FQ4 2023","Currency=USD","Period=FQ","BEST_FPERIOD_OVERRIDE=FQ","FILING_STATUS=MR","SCALING_FORMAT=MLN","Sort=A","Dates=H","DateFormat=P","Fill=—","Direction=H","UseDPDF=Y")</f>
        <v>3082.7379999999998</v>
      </c>
      <c r="W66" s="16">
        <f>_xll.BDH("ALNY US Equity","NON_CUR_LIAB","FQ1 2024","FQ1 2024","Currency=USD","Period=FQ","BEST_FPERIOD_OVERRIDE=FQ","FILING_STATUS=MR","SCALING_FORMAT=MLN","Sort=A","Dates=H","DateFormat=P","Fill=—","Direction=H","UseDPDF=Y")</f>
        <v>3101.9490000000001</v>
      </c>
      <c r="X66" s="16">
        <f>_xll.BDH("ALNY US Equity","NON_CUR_LIAB","FQ2 2024","FQ2 2024","Currency=USD","Period=FQ","BEST_FPERIOD_OVERRIDE=FQ","FILING_STATUS=MR","SCALING_FORMAT=MLN","Sort=A","Dates=H","DateFormat=P","Fill=—","Direction=H","UseDPDF=Y")</f>
        <v>2957.45</v>
      </c>
      <c r="Y66" s="16">
        <f>_xll.BDH("ALNY US Equity","NON_CUR_LIAB","FQ3 2024","FQ3 2024","Currency=USD","Period=FQ","BEST_FPERIOD_OVERRIDE=FQ","FILING_STATUS=MR","SCALING_FORMAT=MLN","Sort=A","Dates=H","DateFormat=P","Fill=—","Direction=H","UseDPDF=Y")</f>
        <v>2952.0219999999999</v>
      </c>
      <c r="Z66" s="16">
        <f>_xll.BDH("ALNY US Equity","NON_CUR_LIAB","FQ4 2024","FQ4 2024","Currency=USD","Period=FQ","BEST_FPERIOD_OVERRIDE=FQ","FILING_STATUS=MR","SCALING_FORMAT=MLN","Sort=A","Dates=H","DateFormat=P","Fill=—","Direction=H","UseDPDF=Y")</f>
        <v>2986.623</v>
      </c>
    </row>
    <row r="67" spans="1:26" x14ac:dyDescent="0.25">
      <c r="A67" s="6" t="s">
        <v>288</v>
      </c>
      <c r="B67" s="6" t="s">
        <v>289</v>
      </c>
      <c r="C67" s="16">
        <f>_xll.BDH("ALNY US Equity","BS_TOT_LIAB2","FQ1 2019","FQ1 2019","Currency=USD","Period=FQ","BEST_FPERIOD_OVERRIDE=FQ","FILING_STATUS=MR","SCALING_FORMAT=MLN","Sort=A","Dates=H","DateFormat=P","Fill=—","Direction=H","UseDPDF=Y")</f>
        <v>467.01299999999998</v>
      </c>
      <c r="D67" s="16">
        <f>_xll.BDH("ALNY US Equity","BS_TOT_LIAB2","FQ2 2019","FQ2 2019","Currency=USD","Period=FQ","BEST_FPERIOD_OVERRIDE=FQ","FILING_STATUS=MR","SCALING_FORMAT=MLN","Sort=A","Dates=H","DateFormat=P","Fill=—","Direction=H","UseDPDF=Y")</f>
        <v>959.21600000000001</v>
      </c>
      <c r="E67" s="16">
        <f>_xll.BDH("ALNY US Equity","BS_TOT_LIAB2","FQ3 2019","FQ3 2019","Currency=USD","Period=FQ","BEST_FPERIOD_OVERRIDE=FQ","FILING_STATUS=MR","SCALING_FORMAT=MLN","Sort=A","Dates=H","DateFormat=P","Fill=—","Direction=H","UseDPDF=Y")</f>
        <v>934.53499999999997</v>
      </c>
      <c r="F67" s="16">
        <f>_xll.BDH("ALNY US Equity","BS_TOT_LIAB2","FQ4 2019","FQ4 2019","Currency=USD","Period=FQ","BEST_FPERIOD_OVERRIDE=FQ","FILING_STATUS=MR","SCALING_FORMAT=MLN","Sort=A","Dates=H","DateFormat=P","Fill=—","Direction=H","UseDPDF=Y")</f>
        <v>956.44200000000001</v>
      </c>
      <c r="G67" s="16">
        <f>_xll.BDH("ALNY US Equity","BS_TOT_LIAB2","FQ1 2020","FQ1 2020","Currency=USD","Period=FQ","BEST_FPERIOD_OVERRIDE=FQ","FILING_STATUS=MR","SCALING_FORMAT=MLN","Sort=A","Dates=H","DateFormat=P","Fill=—","Direction=H","UseDPDF=Y")</f>
        <v>929.89499999999998</v>
      </c>
      <c r="H67" s="16">
        <f>_xll.BDH("ALNY US Equity","BS_TOT_LIAB2","FQ2 2020","FQ2 2020","Currency=USD","Period=FQ","BEST_FPERIOD_OVERRIDE=FQ","FILING_STATUS=MR","SCALING_FORMAT=MLN","Sort=A","Dates=H","DateFormat=P","Fill=—","Direction=H","UseDPDF=Y")</f>
        <v>1974.6410000000001</v>
      </c>
      <c r="I67" s="16">
        <f>_xll.BDH("ALNY US Equity","BS_TOT_LIAB2","FQ3 2020","FQ3 2020","Currency=USD","Period=FQ","BEST_FPERIOD_OVERRIDE=FQ","FILING_STATUS=MR","SCALING_FORMAT=MLN","Sort=A","Dates=H","DateFormat=P","Fill=—","Direction=H","UseDPDF=Y")</f>
        <v>2092.2600000000002</v>
      </c>
      <c r="J67" s="16">
        <f>_xll.BDH("ALNY US Equity","BS_TOT_LIAB2","FQ4 2020","FQ4 2020","Currency=USD","Period=FQ","BEST_FPERIOD_OVERRIDE=FQ","FILING_STATUS=MR","SCALING_FORMAT=MLN","Sort=A","Dates=H","DateFormat=P","Fill=—","Direction=H","UseDPDF=Y")</f>
        <v>2390.8139999999999</v>
      </c>
      <c r="K67" s="16">
        <f>_xll.BDH("ALNY US Equity","BS_TOT_LIAB2","FQ1 2021","FQ1 2021","Currency=USD","Period=FQ","BEST_FPERIOD_OVERRIDE=FQ","FILING_STATUS=MR","SCALING_FORMAT=MLN","Sort=A","Dates=H","DateFormat=P","Fill=—","Direction=H","UseDPDF=Y")</f>
        <v>2329.0790000000002</v>
      </c>
      <c r="L67" s="16">
        <f>_xll.BDH("ALNY US Equity","BS_TOT_LIAB2","FQ2 2021","FQ2 2021","Currency=USD","Period=FQ","BEST_FPERIOD_OVERRIDE=FQ","FILING_STATUS=MR","SCALING_FORMAT=MLN","Sort=A","Dates=H","DateFormat=P","Fill=—","Direction=H","UseDPDF=Y")</f>
        <v>2656.067</v>
      </c>
      <c r="M67" s="16">
        <f>_xll.BDH("ALNY US Equity","BS_TOT_LIAB2","FQ3 2021","FQ3 2021","Currency=USD","Period=FQ","BEST_FPERIOD_OVERRIDE=FQ","FILING_STATUS=MR","SCALING_FORMAT=MLN","Sort=A","Dates=H","DateFormat=P","Fill=—","Direction=H","UseDPDF=Y")</f>
        <v>2716.42</v>
      </c>
      <c r="N67" s="16">
        <f>_xll.BDH("ALNY US Equity","BS_TOT_LIAB2","FQ4 2021","FQ4 2021","Currency=USD","Period=FQ","BEST_FPERIOD_OVERRIDE=FQ","FILING_STATUS=MR","SCALING_FORMAT=MLN","Sort=A","Dates=H","DateFormat=P","Fill=—","Direction=H","UseDPDF=Y")</f>
        <v>3055.1010000000001</v>
      </c>
      <c r="O67" s="16">
        <f>_xll.BDH("ALNY US Equity","BS_TOT_LIAB2","FQ1 2022","FQ1 2022","Currency=USD","Period=FQ","BEST_FPERIOD_OVERRIDE=FQ","FILING_STATUS=MR","SCALING_FORMAT=MLN","Sort=A","Dates=H","DateFormat=P","Fill=—","Direction=H","UseDPDF=Y")</f>
        <v>3032.3789999999999</v>
      </c>
      <c r="P67" s="16">
        <f>_xll.BDH("ALNY US Equity","BS_TOT_LIAB2","FQ2 2022","FQ2 2022","Currency=USD","Period=FQ","BEST_FPERIOD_OVERRIDE=FQ","FILING_STATUS=MR","SCALING_FORMAT=MLN","Sort=A","Dates=H","DateFormat=P","Fill=—","Direction=H","UseDPDF=Y")</f>
        <v>3154.377</v>
      </c>
      <c r="Q67" s="16">
        <f>_xll.BDH("ALNY US Equity","BS_TOT_LIAB2","FQ3 2022","FQ3 2022","Currency=USD","Period=FQ","BEST_FPERIOD_OVERRIDE=FQ","FILING_STATUS=MR","SCALING_FORMAT=MLN","Sort=A","Dates=H","DateFormat=P","Fill=—","Direction=H","UseDPDF=Y")</f>
        <v>3602.893</v>
      </c>
      <c r="R67" s="16">
        <f>_xll.BDH("ALNY US Equity","BS_TOT_LIAB2","FQ4 2022","FQ4 2022","Currency=USD","Period=FQ","BEST_FPERIOD_OVERRIDE=FQ","FILING_STATUS=MR","SCALING_FORMAT=MLN","Sort=A","Dates=H","DateFormat=P","Fill=—","Direction=H","UseDPDF=Y")</f>
        <v>3704.5819999999999</v>
      </c>
      <c r="S67" s="16">
        <f>_xll.BDH("ALNY US Equity","BS_TOT_LIAB2","FQ1 2023","FQ1 2023","Currency=USD","Period=FQ","BEST_FPERIOD_OVERRIDE=FQ","FILING_STATUS=MR","SCALING_FORMAT=MLN","Sort=A","Dates=H","DateFormat=P","Fill=—","Direction=H","UseDPDF=Y")</f>
        <v>3651.18</v>
      </c>
      <c r="T67" s="16">
        <f>_xll.BDH("ALNY US Equity","BS_TOT_LIAB2","FQ2 2023","FQ2 2023","Currency=USD","Period=FQ","BEST_FPERIOD_OVERRIDE=FQ","FILING_STATUS=MR","SCALING_FORMAT=MLN","Sort=A","Dates=H","DateFormat=P","Fill=—","Direction=H","UseDPDF=Y")</f>
        <v>3810.527</v>
      </c>
      <c r="U67" s="16">
        <f>_xll.BDH("ALNY US Equity","BS_TOT_LIAB2","FQ3 2023","FQ3 2023","Currency=USD","Period=FQ","BEST_FPERIOD_OVERRIDE=FQ","FILING_STATUS=MR","SCALING_FORMAT=MLN","Sort=A","Dates=H","DateFormat=P","Fill=—","Direction=H","UseDPDF=Y")</f>
        <v>4004.9389999999999</v>
      </c>
      <c r="V67" s="16">
        <f>_xll.BDH("ALNY US Equity","BS_TOT_LIAB2","FQ4 2023","FQ4 2023","Currency=USD","Period=FQ","BEST_FPERIOD_OVERRIDE=FQ","FILING_STATUS=MR","SCALING_FORMAT=MLN","Sort=A","Dates=H","DateFormat=P","Fill=—","Direction=H","UseDPDF=Y")</f>
        <v>4050.5239999999999</v>
      </c>
      <c r="W67" s="16">
        <f>_xll.BDH("ALNY US Equity","BS_TOT_LIAB2","FQ1 2024","FQ1 2024","Currency=USD","Period=FQ","BEST_FPERIOD_OVERRIDE=FQ","FILING_STATUS=MR","SCALING_FORMAT=MLN","Sort=A","Dates=H","DateFormat=P","Fill=—","Direction=H","UseDPDF=Y")</f>
        <v>4043.6579999999999</v>
      </c>
      <c r="X67" s="16">
        <f>_xll.BDH("ALNY US Equity","BS_TOT_LIAB2","FQ2 2024","FQ2 2024","Currency=USD","Period=FQ","BEST_FPERIOD_OVERRIDE=FQ","FILING_STATUS=MR","SCALING_FORMAT=MLN","Sort=A","Dates=H","DateFormat=P","Fill=—","Direction=H","UseDPDF=Y")</f>
        <v>4012.701</v>
      </c>
      <c r="Y67" s="16">
        <f>_xll.BDH("ALNY US Equity","BS_TOT_LIAB2","FQ3 2024","FQ3 2024","Currency=USD","Period=FQ","BEST_FPERIOD_OVERRIDE=FQ","FILING_STATUS=MR","SCALING_FORMAT=MLN","Sort=A","Dates=H","DateFormat=P","Fill=—","Direction=H","UseDPDF=Y")</f>
        <v>4172.6850000000004</v>
      </c>
      <c r="Z67" s="16">
        <f>_xll.BDH("ALNY US Equity","BS_TOT_LIAB2","FQ4 2024","FQ4 2024","Currency=USD","Period=FQ","BEST_FPERIOD_OVERRIDE=FQ","FILING_STATUS=MR","SCALING_FORMAT=MLN","Sort=A","Dates=H","DateFormat=P","Fill=—","Direction=H","UseDPDF=Y")</f>
        <v>4172.8950000000004</v>
      </c>
    </row>
    <row r="68" spans="1:26" x14ac:dyDescent="0.25">
      <c r="A68" s="10" t="s">
        <v>290</v>
      </c>
      <c r="B68" s="10" t="s">
        <v>291</v>
      </c>
      <c r="C68" s="13">
        <f>_xll.BDH("ALNY US Equity","PFD_EQTY_HYBRID_CAPITAL","FQ1 2019","FQ1 2019","Currency=USD","Period=FQ","BEST_FPERIOD_OVERRIDE=FQ","FILING_STATUS=MR","SCALING_FORMAT=MLN","Sort=A","Dates=H","DateFormat=P","Fill=—","Direction=H","UseDPDF=Y")</f>
        <v>0</v>
      </c>
      <c r="D68" s="13">
        <f>_xll.BDH("ALNY US Equity","PFD_EQTY_HYBRID_CAPITAL","FQ2 2019","FQ2 2019","Currency=USD","Period=FQ","BEST_FPERIOD_OVERRIDE=FQ","FILING_STATUS=MR","SCALING_FORMAT=MLN","Sort=A","Dates=H","DateFormat=P","Fill=—","Direction=H","UseDPDF=Y")</f>
        <v>0</v>
      </c>
      <c r="E68" s="13">
        <f>_xll.BDH("ALNY US Equity","PFD_EQTY_HYBRID_CAPITAL","FQ3 2019","FQ3 2019","Currency=USD","Period=FQ","BEST_FPERIOD_OVERRIDE=FQ","FILING_STATUS=MR","SCALING_FORMAT=MLN","Sort=A","Dates=H","DateFormat=P","Fill=—","Direction=H","UseDPDF=Y")</f>
        <v>0</v>
      </c>
      <c r="F68" s="13">
        <f>_xll.BDH("ALNY US Equity","PFD_EQTY_HYBRID_CAPITAL","FQ4 2019","FQ4 2019","Currency=USD","Period=FQ","BEST_FPERIOD_OVERRIDE=FQ","FILING_STATUS=MR","SCALING_FORMAT=MLN","Sort=A","Dates=H","DateFormat=P","Fill=—","Direction=H","UseDPDF=Y")</f>
        <v>0</v>
      </c>
      <c r="G68" s="13">
        <f>_xll.BDH("ALNY US Equity","PFD_EQTY_HYBRID_CAPITAL","FQ1 2020","FQ1 2020","Currency=USD","Period=FQ","BEST_FPERIOD_OVERRIDE=FQ","FILING_STATUS=MR","SCALING_FORMAT=MLN","Sort=A","Dates=H","DateFormat=P","Fill=—","Direction=H","UseDPDF=Y")</f>
        <v>0</v>
      </c>
      <c r="H68" s="13">
        <f>_xll.BDH("ALNY US Equity","PFD_EQTY_HYBRID_CAPITAL","FQ2 2020","FQ2 2020","Currency=USD","Period=FQ","BEST_FPERIOD_OVERRIDE=FQ","FILING_STATUS=MR","SCALING_FORMAT=MLN","Sort=A","Dates=H","DateFormat=P","Fill=—","Direction=H","UseDPDF=Y")</f>
        <v>0</v>
      </c>
      <c r="I68" s="13">
        <f>_xll.BDH("ALNY US Equity","PFD_EQTY_HYBRID_CAPITAL","FQ3 2020","FQ3 2020","Currency=USD","Period=FQ","BEST_FPERIOD_OVERRIDE=FQ","FILING_STATUS=MR","SCALING_FORMAT=MLN","Sort=A","Dates=H","DateFormat=P","Fill=—","Direction=H","UseDPDF=Y")</f>
        <v>0</v>
      </c>
      <c r="J68" s="13">
        <f>_xll.BDH("ALNY US Equity","PFD_EQTY_HYBRID_CAPITAL","FQ4 2020","FQ4 2020","Currency=USD","Period=FQ","BEST_FPERIOD_OVERRIDE=FQ","FILING_STATUS=MR","SCALING_FORMAT=MLN","Sort=A","Dates=H","DateFormat=P","Fill=—","Direction=H","UseDPDF=Y")</f>
        <v>0</v>
      </c>
      <c r="K68" s="13">
        <f>_xll.BDH("ALNY US Equity","PFD_EQTY_HYBRID_CAPITAL","FQ1 2021","FQ1 2021","Currency=USD","Period=FQ","BEST_FPERIOD_OVERRIDE=FQ","FILING_STATUS=MR","SCALING_FORMAT=MLN","Sort=A","Dates=H","DateFormat=P","Fill=—","Direction=H","UseDPDF=Y")</f>
        <v>0</v>
      </c>
      <c r="L68" s="13">
        <f>_xll.BDH("ALNY US Equity","PFD_EQTY_HYBRID_CAPITAL","FQ2 2021","FQ2 2021","Currency=USD","Period=FQ","BEST_FPERIOD_OVERRIDE=FQ","FILING_STATUS=MR","SCALING_FORMAT=MLN","Sort=A","Dates=H","DateFormat=P","Fill=—","Direction=H","UseDPDF=Y")</f>
        <v>0</v>
      </c>
      <c r="M68" s="13">
        <f>_xll.BDH("ALNY US Equity","PFD_EQTY_HYBRID_CAPITAL","FQ3 2021","FQ3 2021","Currency=USD","Period=FQ","BEST_FPERIOD_OVERRIDE=FQ","FILING_STATUS=MR","SCALING_FORMAT=MLN","Sort=A","Dates=H","DateFormat=P","Fill=—","Direction=H","UseDPDF=Y")</f>
        <v>0</v>
      </c>
      <c r="N68" s="13">
        <f>_xll.BDH("ALNY US Equity","PFD_EQTY_HYBRID_CAPITAL","FQ4 2021","FQ4 2021","Currency=USD","Period=FQ","BEST_FPERIOD_OVERRIDE=FQ","FILING_STATUS=MR","SCALING_FORMAT=MLN","Sort=A","Dates=H","DateFormat=P","Fill=—","Direction=H","UseDPDF=Y")</f>
        <v>0</v>
      </c>
      <c r="O68" s="13">
        <f>_xll.BDH("ALNY US Equity","PFD_EQTY_HYBRID_CAPITAL","FQ1 2022","FQ1 2022","Currency=USD","Period=FQ","BEST_FPERIOD_OVERRIDE=FQ","FILING_STATUS=MR","SCALING_FORMAT=MLN","Sort=A","Dates=H","DateFormat=P","Fill=—","Direction=H","UseDPDF=Y")</f>
        <v>0</v>
      </c>
      <c r="P68" s="13">
        <f>_xll.BDH("ALNY US Equity","PFD_EQTY_HYBRID_CAPITAL","FQ2 2022","FQ2 2022","Currency=USD","Period=FQ","BEST_FPERIOD_OVERRIDE=FQ","FILING_STATUS=MR","SCALING_FORMAT=MLN","Sort=A","Dates=H","DateFormat=P","Fill=—","Direction=H","UseDPDF=Y")</f>
        <v>0</v>
      </c>
      <c r="Q68" s="13">
        <f>_xll.BDH("ALNY US Equity","PFD_EQTY_HYBRID_CAPITAL","FQ3 2022","FQ3 2022","Currency=USD","Period=FQ","BEST_FPERIOD_OVERRIDE=FQ","FILING_STATUS=MR","SCALING_FORMAT=MLN","Sort=A","Dates=H","DateFormat=P","Fill=—","Direction=H","UseDPDF=Y")</f>
        <v>0</v>
      </c>
      <c r="R68" s="13">
        <f>_xll.BDH("ALNY US Equity","PFD_EQTY_HYBRID_CAPITAL","FQ4 2022","FQ4 2022","Currency=USD","Period=FQ","BEST_FPERIOD_OVERRIDE=FQ","FILING_STATUS=MR","SCALING_FORMAT=MLN","Sort=A","Dates=H","DateFormat=P","Fill=—","Direction=H","UseDPDF=Y")</f>
        <v>0</v>
      </c>
      <c r="S68" s="13">
        <f>_xll.BDH("ALNY US Equity","PFD_EQTY_HYBRID_CAPITAL","FQ1 2023","FQ1 2023","Currency=USD","Period=FQ","BEST_FPERIOD_OVERRIDE=FQ","FILING_STATUS=MR","SCALING_FORMAT=MLN","Sort=A","Dates=H","DateFormat=P","Fill=—","Direction=H","UseDPDF=Y")</f>
        <v>0</v>
      </c>
      <c r="T68" s="13">
        <f>_xll.BDH("ALNY US Equity","PFD_EQTY_HYBRID_CAPITAL","FQ2 2023","FQ2 2023","Currency=USD","Period=FQ","BEST_FPERIOD_OVERRIDE=FQ","FILING_STATUS=MR","SCALING_FORMAT=MLN","Sort=A","Dates=H","DateFormat=P","Fill=—","Direction=H","UseDPDF=Y")</f>
        <v>0</v>
      </c>
      <c r="U68" s="13">
        <f>_xll.BDH("ALNY US Equity","PFD_EQTY_HYBRID_CAPITAL","FQ3 2023","FQ3 2023","Currency=USD","Period=FQ","BEST_FPERIOD_OVERRIDE=FQ","FILING_STATUS=MR","SCALING_FORMAT=MLN","Sort=A","Dates=H","DateFormat=P","Fill=—","Direction=H","UseDPDF=Y")</f>
        <v>0</v>
      </c>
      <c r="V68" s="13">
        <f>_xll.BDH("ALNY US Equity","PFD_EQTY_HYBRID_CAPITAL","FQ4 2023","FQ4 2023","Currency=USD","Period=FQ","BEST_FPERIOD_OVERRIDE=FQ","FILING_STATUS=MR","SCALING_FORMAT=MLN","Sort=A","Dates=H","DateFormat=P","Fill=—","Direction=H","UseDPDF=Y")</f>
        <v>0</v>
      </c>
      <c r="W68" s="13">
        <f>_xll.BDH("ALNY US Equity","PFD_EQTY_HYBRID_CAPITAL","FQ1 2024","FQ1 2024","Currency=USD","Period=FQ","BEST_FPERIOD_OVERRIDE=FQ","FILING_STATUS=MR","SCALING_FORMAT=MLN","Sort=A","Dates=H","DateFormat=P","Fill=—","Direction=H","UseDPDF=Y")</f>
        <v>0</v>
      </c>
      <c r="X68" s="13">
        <f>_xll.BDH("ALNY US Equity","PFD_EQTY_HYBRID_CAPITAL","FQ2 2024","FQ2 2024","Currency=USD","Period=FQ","BEST_FPERIOD_OVERRIDE=FQ","FILING_STATUS=MR","SCALING_FORMAT=MLN","Sort=A","Dates=H","DateFormat=P","Fill=—","Direction=H","UseDPDF=Y")</f>
        <v>0</v>
      </c>
      <c r="Y68" s="13">
        <f>_xll.BDH("ALNY US Equity","PFD_EQTY_HYBRID_CAPITAL","FQ3 2024","FQ3 2024","Currency=USD","Period=FQ","BEST_FPERIOD_OVERRIDE=FQ","FILING_STATUS=MR","SCALING_FORMAT=MLN","Sort=A","Dates=H","DateFormat=P","Fill=—","Direction=H","UseDPDF=Y")</f>
        <v>0</v>
      </c>
      <c r="Z68" s="13">
        <f>_xll.BDH("ALNY US Equity","PFD_EQTY_HYBRID_CAPITAL","FQ4 2024","FQ4 2024","Currency=USD","Period=FQ","BEST_FPERIOD_OVERRIDE=FQ","FILING_STATUS=MR","SCALING_FORMAT=MLN","Sort=A","Dates=H","DateFormat=P","Fill=—","Direction=H","UseDPDF=Y")</f>
        <v>0</v>
      </c>
    </row>
    <row r="69" spans="1:26" x14ac:dyDescent="0.25">
      <c r="A69" s="10" t="s">
        <v>292</v>
      </c>
      <c r="B69" s="10" t="s">
        <v>293</v>
      </c>
      <c r="C69" s="13">
        <f>_xll.BDH("ALNY US Equity","BS_SH_CAP_AND_APIC","FQ1 2019","FQ1 2019","Currency=USD","Period=FQ","BEST_FPERIOD_OVERRIDE=FQ","FILING_STATUS=MR","SCALING_FORMAT=MLN","Sort=A","Dates=H","DateFormat=P","Fill=—","Direction=H","UseDPDF=Y")</f>
        <v>4602.7259999999997</v>
      </c>
      <c r="D69" s="13">
        <f>_xll.BDH("ALNY US Equity","BS_SH_CAP_AND_APIC","FQ2 2019","FQ2 2019","Currency=USD","Period=FQ","BEST_FPERIOD_OVERRIDE=FQ","FILING_STATUS=MR","SCALING_FORMAT=MLN","Sort=A","Dates=H","DateFormat=P","Fill=—","Direction=H","UseDPDF=Y")</f>
        <v>5035.3940000000002</v>
      </c>
      <c r="E69" s="13">
        <f>_xll.BDH("ALNY US Equity","BS_SH_CAP_AND_APIC","FQ3 2019","FQ3 2019","Currency=USD","Period=FQ","BEST_FPERIOD_OVERRIDE=FQ","FILING_STATUS=MR","SCALING_FORMAT=MLN","Sort=A","Dates=H","DateFormat=P","Fill=—","Direction=H","UseDPDF=Y")</f>
        <v>5092.3609999999999</v>
      </c>
      <c r="F69" s="13">
        <f>_xll.BDH("ALNY US Equity","BS_SH_CAP_AND_APIC","FQ4 2019","FQ4 2019","Currency=USD","Period=FQ","BEST_FPERIOD_OVERRIDE=FQ","FILING_STATUS=MR","SCALING_FORMAT=MLN","Sort=A","Dates=H","DateFormat=P","Fill=—","Direction=H","UseDPDF=Y")</f>
        <v>5202.2979999999998</v>
      </c>
      <c r="G69" s="13">
        <f>_xll.BDH("ALNY US Equity","BS_SH_CAP_AND_APIC","FQ1 2020","FQ1 2020","Currency=USD","Period=FQ","BEST_FPERIOD_OVERRIDE=FQ","FILING_STATUS=MR","SCALING_FORMAT=MLN","Sort=A","Dates=H","DateFormat=P","Fill=—","Direction=H","UseDPDF=Y")</f>
        <v>5291.0969999999998</v>
      </c>
      <c r="H69" s="13">
        <f>_xll.BDH("ALNY US Equity","BS_SH_CAP_AND_APIC","FQ2 2020","FQ2 2020","Currency=USD","Period=FQ","BEST_FPERIOD_OVERRIDE=FQ","FILING_STATUS=MR","SCALING_FORMAT=MLN","Sort=A","Dates=H","DateFormat=P","Fill=—","Direction=H","UseDPDF=Y")</f>
        <v>5521.4759999999997</v>
      </c>
      <c r="I69" s="13">
        <f>_xll.BDH("ALNY US Equity","BS_SH_CAP_AND_APIC","FQ3 2020","FQ3 2020","Currency=USD","Period=FQ","BEST_FPERIOD_OVERRIDE=FQ","FILING_STATUS=MR","SCALING_FORMAT=MLN","Sort=A","Dates=H","DateFormat=P","Fill=—","Direction=H","UseDPDF=Y")</f>
        <v>5594.0450000000001</v>
      </c>
      <c r="J69" s="13">
        <f>_xll.BDH("ALNY US Equity","BS_SH_CAP_AND_APIC","FQ4 2020","FQ4 2020","Currency=USD","Period=FQ","BEST_FPERIOD_OVERRIDE=FQ","FILING_STATUS=MR","SCALING_FORMAT=MLN","Sort=A","Dates=H","DateFormat=P","Fill=—","Direction=H","UseDPDF=Y")</f>
        <v>5645.2380000000003</v>
      </c>
      <c r="K69" s="13">
        <f>_xll.BDH("ALNY US Equity","BS_SH_CAP_AND_APIC","FQ1 2021","FQ1 2021","Currency=USD","Period=FQ","BEST_FPERIOD_OVERRIDE=FQ","FILING_STATUS=MR","SCALING_FORMAT=MLN","Sort=A","Dates=H","DateFormat=P","Fill=—","Direction=H","UseDPDF=Y")</f>
        <v>5748.567</v>
      </c>
      <c r="L69" s="13">
        <f>_xll.BDH("ALNY US Equity","BS_SH_CAP_AND_APIC","FQ2 2021","FQ2 2021","Currency=USD","Period=FQ","BEST_FPERIOD_OVERRIDE=FQ","FILING_STATUS=MR","SCALING_FORMAT=MLN","Sort=A","Dates=H","DateFormat=P","Fill=—","Direction=H","UseDPDF=Y")</f>
        <v>5864.6620000000003</v>
      </c>
      <c r="M69" s="13">
        <f>_xll.BDH("ALNY US Equity","BS_SH_CAP_AND_APIC","FQ3 2021","FQ3 2021","Currency=USD","Period=FQ","BEST_FPERIOD_OVERRIDE=FQ","FILING_STATUS=MR","SCALING_FORMAT=MLN","Sort=A","Dates=H","DateFormat=P","Fill=—","Direction=H","UseDPDF=Y")</f>
        <v>5969.8559999999998</v>
      </c>
      <c r="N69" s="13">
        <f>_xll.BDH("ALNY US Equity","BS_SH_CAP_AND_APIC","FQ4 2021","FQ4 2021","Currency=USD","Period=FQ","BEST_FPERIOD_OVERRIDE=FQ","FILING_STATUS=MR","SCALING_FORMAT=MLN","Sort=A","Dates=H","DateFormat=P","Fill=—","Direction=H","UseDPDF=Y")</f>
        <v>6059.6549999999997</v>
      </c>
      <c r="O69" s="13">
        <f>_xll.BDH("ALNY US Equity","BS_SH_CAP_AND_APIC","FQ1 2022","FQ1 2022","Currency=USD","Period=FQ","BEST_FPERIOD_OVERRIDE=FQ","FILING_STATUS=MR","SCALING_FORMAT=MLN","Sort=A","Dates=H","DateFormat=P","Fill=—","Direction=H","UseDPDF=Y")</f>
        <v>6117.7650000000003</v>
      </c>
      <c r="P69" s="13">
        <f>_xll.BDH("ALNY US Equity","BS_SH_CAP_AND_APIC","FQ2 2022","FQ2 2022","Currency=USD","Period=FQ","BEST_FPERIOD_OVERRIDE=FQ","FILING_STATUS=MR","SCALING_FORMAT=MLN","Sort=A","Dates=H","DateFormat=P","Fill=—","Direction=H","UseDPDF=Y")</f>
        <v>6174.2</v>
      </c>
      <c r="Q69" s="13">
        <f>_xll.BDH("ALNY US Equity","BS_SH_CAP_AND_APIC","FQ3 2022","FQ3 2022","Currency=USD","Period=FQ","BEST_FPERIOD_OVERRIDE=FQ","FILING_STATUS=MR","SCALING_FORMAT=MLN","Sort=A","Dates=H","DateFormat=P","Fill=—","Direction=H","UseDPDF=Y")</f>
        <v>6338.0010000000002</v>
      </c>
      <c r="R69" s="13">
        <f>_xll.BDH("ALNY US Equity","BS_SH_CAP_AND_APIC","FQ4 2022","FQ4 2022","Currency=USD","Period=FQ","BEST_FPERIOD_OVERRIDE=FQ","FILING_STATUS=MR","SCALING_FORMAT=MLN","Sort=A","Dates=H","DateFormat=P","Fill=—","Direction=H","UseDPDF=Y")</f>
        <v>6455.78</v>
      </c>
      <c r="S69" s="13">
        <f>_xll.BDH("ALNY US Equity","BS_SH_CAP_AND_APIC","FQ1 2023","FQ1 2023","Currency=USD","Period=FQ","BEST_FPERIOD_OVERRIDE=FQ","FILING_STATUS=MR","SCALING_FORMAT=MLN","Sort=A","Dates=H","DateFormat=P","Fill=—","Direction=H","UseDPDF=Y")</f>
        <v>6523.3339999999998</v>
      </c>
      <c r="T69" s="13">
        <f>_xll.BDH("ALNY US Equity","BS_SH_CAP_AND_APIC","FQ2 2023","FQ2 2023","Currency=USD","Period=FQ","BEST_FPERIOD_OVERRIDE=FQ","FILING_STATUS=MR","SCALING_FORMAT=MLN","Sort=A","Dates=H","DateFormat=P","Fill=—","Direction=H","UseDPDF=Y")</f>
        <v>6648.4229999999998</v>
      </c>
      <c r="U69" s="13">
        <f>_xll.BDH("ALNY US Equity","BS_SH_CAP_AND_APIC","FQ3 2023","FQ3 2023","Currency=USD","Period=FQ","BEST_FPERIOD_OVERRIDE=FQ","FILING_STATUS=MR","SCALING_FORMAT=MLN","Sort=A","Dates=H","DateFormat=P","Fill=—","Direction=H","UseDPDF=Y")</f>
        <v>6738.1940000000004</v>
      </c>
      <c r="V69" s="13">
        <f>_xll.BDH("ALNY US Equity","BS_SH_CAP_AND_APIC","FQ4 2023","FQ4 2023","Currency=USD","Period=FQ","BEST_FPERIOD_OVERRIDE=FQ","FILING_STATUS=MR","SCALING_FORMAT=MLN","Sort=A","Dates=H","DateFormat=P","Fill=—","Direction=H","UseDPDF=Y")</f>
        <v>6812.3220000000001</v>
      </c>
      <c r="W69" s="13">
        <f>_xll.BDH("ALNY US Equity","BS_SH_CAP_AND_APIC","FQ1 2024","FQ1 2024","Currency=USD","Period=FQ","BEST_FPERIOD_OVERRIDE=FQ","FILING_STATUS=MR","SCALING_FORMAT=MLN","Sort=A","Dates=H","DateFormat=P","Fill=—","Direction=H","UseDPDF=Y")</f>
        <v>6883.2420000000002</v>
      </c>
      <c r="X69" s="13">
        <f>_xll.BDH("ALNY US Equity","BS_SH_CAP_AND_APIC","FQ2 2024","FQ2 2024","Currency=USD","Period=FQ","BEST_FPERIOD_OVERRIDE=FQ","FILING_STATUS=MR","SCALING_FORMAT=MLN","Sort=A","Dates=H","DateFormat=P","Fill=—","Direction=H","UseDPDF=Y")</f>
        <v>7123.9849999999997</v>
      </c>
      <c r="Y69" s="13">
        <f>_xll.BDH("ALNY US Equity","BS_SH_CAP_AND_APIC","FQ3 2024","FQ3 2024","Currency=USD","Period=FQ","BEST_FPERIOD_OVERRIDE=FQ","FILING_STATUS=MR","SCALING_FORMAT=MLN","Sort=A","Dates=H","DateFormat=P","Fill=—","Direction=H","UseDPDF=Y")</f>
        <v>7261.165</v>
      </c>
      <c r="Z69" s="13">
        <f>_xll.BDH("ALNY US Equity","BS_SH_CAP_AND_APIC","FQ4 2024","FQ4 2024","Currency=USD","Period=FQ","BEST_FPERIOD_OVERRIDE=FQ","FILING_STATUS=MR","SCALING_FORMAT=MLN","Sort=A","Dates=H","DateFormat=P","Fill=—","Direction=H","UseDPDF=Y")</f>
        <v>7389.3540000000003</v>
      </c>
    </row>
    <row r="70" spans="1:26" x14ac:dyDescent="0.25">
      <c r="A70" s="10" t="s">
        <v>294</v>
      </c>
      <c r="B70" s="10" t="s">
        <v>295</v>
      </c>
      <c r="C70" s="13">
        <f>_xll.BDH("ALNY US Equity","BS_COMMON_STOCK","FQ1 2019","FQ1 2019","Currency=USD","Period=FQ","BEST_FPERIOD_OVERRIDE=FQ","FILING_STATUS=MR","SCALING_FORMAT=MLN","Sort=A","Dates=H","DateFormat=P","Fill=—","Direction=H","UseDPDF=Y")</f>
        <v>1.0640000000000001</v>
      </c>
      <c r="D70" s="13">
        <f>_xll.BDH("ALNY US Equity","BS_COMMON_STOCK","FQ2 2019","FQ2 2019","Currency=USD","Period=FQ","BEST_FPERIOD_OVERRIDE=FQ","FILING_STATUS=MR","SCALING_FORMAT=MLN","Sort=A","Dates=H","DateFormat=P","Fill=—","Direction=H","UseDPDF=Y")</f>
        <v>1.1100000000000001</v>
      </c>
      <c r="E70" s="13">
        <f>_xll.BDH("ALNY US Equity","BS_COMMON_STOCK","FQ3 2019","FQ3 2019","Currency=USD","Period=FQ","BEST_FPERIOD_OVERRIDE=FQ","FILING_STATUS=MR","SCALING_FORMAT=MLN","Sort=A","Dates=H","DateFormat=P","Fill=—","Direction=H","UseDPDF=Y")</f>
        <v>1.113</v>
      </c>
      <c r="F70" s="13">
        <f>_xll.BDH("ALNY US Equity","BS_COMMON_STOCK","FQ4 2019","FQ4 2019","Currency=USD","Period=FQ","BEST_FPERIOD_OVERRIDE=FQ","FILING_STATUS=MR","SCALING_FORMAT=MLN","Sort=A","Dates=H","DateFormat=P","Fill=—","Direction=H","UseDPDF=Y")</f>
        <v>1.1220000000000001</v>
      </c>
      <c r="G70" s="13">
        <f>_xll.BDH("ALNY US Equity","BS_COMMON_STOCK","FQ1 2020","FQ1 2020","Currency=USD","Period=FQ","BEST_FPERIOD_OVERRIDE=FQ","FILING_STATUS=MR","SCALING_FORMAT=MLN","Sort=A","Dates=H","DateFormat=P","Fill=—","Direction=H","UseDPDF=Y")</f>
        <v>1.131</v>
      </c>
      <c r="H70" s="13">
        <f>_xll.BDH("ALNY US Equity","BS_COMMON_STOCK","FQ2 2020","FQ2 2020","Currency=USD","Period=FQ","BEST_FPERIOD_OVERRIDE=FQ","FILING_STATUS=MR","SCALING_FORMAT=MLN","Sort=A","Dates=H","DateFormat=P","Fill=—","Direction=H","UseDPDF=Y")</f>
        <v>1.1559999999999999</v>
      </c>
      <c r="I70" s="13">
        <f>_xll.BDH("ALNY US Equity","BS_COMMON_STOCK","FQ3 2020","FQ3 2020","Currency=USD","Period=FQ","BEST_FPERIOD_OVERRIDE=FQ","FILING_STATUS=MR","SCALING_FORMAT=MLN","Sort=A","Dates=H","DateFormat=P","Fill=—","Direction=H","UseDPDF=Y")</f>
        <v>1.161</v>
      </c>
      <c r="J70" s="13">
        <f>_xll.BDH("ALNY US Equity","BS_COMMON_STOCK","FQ4 2020","FQ4 2020","Currency=USD","Period=FQ","BEST_FPERIOD_OVERRIDE=FQ","FILING_STATUS=MR","SCALING_FORMAT=MLN","Sort=A","Dates=H","DateFormat=P","Fill=—","Direction=H","UseDPDF=Y")</f>
        <v>1.1639999999999999</v>
      </c>
      <c r="K70" s="13">
        <f>_xll.BDH("ALNY US Equity","BS_COMMON_STOCK","FQ1 2021","FQ1 2021","Currency=USD","Period=FQ","BEST_FPERIOD_OVERRIDE=FQ","FILING_STATUS=MR","SCALING_FORMAT=MLN","Sort=A","Dates=H","DateFormat=P","Fill=—","Direction=H","UseDPDF=Y")</f>
        <v>1.173</v>
      </c>
      <c r="L70" s="13">
        <f>_xll.BDH("ALNY US Equity","BS_COMMON_STOCK","FQ2 2021","FQ2 2021","Currency=USD","Period=FQ","BEST_FPERIOD_OVERRIDE=FQ","FILING_STATUS=MR","SCALING_FORMAT=MLN","Sort=A","Dates=H","DateFormat=P","Fill=—","Direction=H","UseDPDF=Y")</f>
        <v>1.1859999999999999</v>
      </c>
      <c r="M70" s="13">
        <f>_xll.BDH("ALNY US Equity","BS_COMMON_STOCK","FQ3 2021","FQ3 2021","Currency=USD","Period=FQ","BEST_FPERIOD_OVERRIDE=FQ","FILING_STATUS=MR","SCALING_FORMAT=MLN","Sort=A","Dates=H","DateFormat=P","Fill=—","Direction=H","UseDPDF=Y")</f>
        <v>1.1950000000000001</v>
      </c>
      <c r="N70" s="13">
        <f>_xll.BDH("ALNY US Equity","BS_COMMON_STOCK","FQ4 2021","FQ4 2021","Currency=USD","Period=FQ","BEST_FPERIOD_OVERRIDE=FQ","FILING_STATUS=MR","SCALING_FORMAT=MLN","Sort=A","Dates=H","DateFormat=P","Fill=—","Direction=H","UseDPDF=Y")</f>
        <v>1.202</v>
      </c>
      <c r="O70" s="13">
        <f>_xll.BDH("ALNY US Equity","BS_COMMON_STOCK","FQ1 2022","FQ1 2022","Currency=USD","Period=FQ","BEST_FPERIOD_OVERRIDE=FQ","FILING_STATUS=MR","SCALING_FORMAT=MLN","Sort=A","Dates=H","DateFormat=P","Fill=—","Direction=H","UseDPDF=Y")</f>
        <v>1.2070000000000001</v>
      </c>
      <c r="P70" s="13">
        <f>_xll.BDH("ALNY US Equity","BS_COMMON_STOCK","FQ2 2022","FQ2 2022","Currency=USD","Period=FQ","BEST_FPERIOD_OVERRIDE=FQ","FILING_STATUS=MR","SCALING_FORMAT=MLN","Sort=A","Dates=H","DateFormat=P","Fill=—","Direction=H","UseDPDF=Y")</f>
        <v>1.21</v>
      </c>
      <c r="Q70" s="13">
        <f>_xll.BDH("ALNY US Equity","BS_COMMON_STOCK","FQ3 2022","FQ3 2022","Currency=USD","Period=FQ","BEST_FPERIOD_OVERRIDE=FQ","FILING_STATUS=MR","SCALING_FORMAT=MLN","Sort=A","Dates=H","DateFormat=P","Fill=—","Direction=H","UseDPDF=Y")</f>
        <v>1.23</v>
      </c>
      <c r="R70" s="13">
        <f>_xll.BDH("ALNY US Equity","BS_COMMON_STOCK","FQ4 2022","FQ4 2022","Currency=USD","Period=FQ","BEST_FPERIOD_OVERRIDE=FQ","FILING_STATUS=MR","SCALING_FORMAT=MLN","Sort=A","Dates=H","DateFormat=P","Fill=—","Direction=H","UseDPDF=Y")</f>
        <v>1.24</v>
      </c>
      <c r="S70" s="13">
        <f>_xll.BDH("ALNY US Equity","BS_COMMON_STOCK","FQ1 2023","FQ1 2023","Currency=USD","Period=FQ","BEST_FPERIOD_OVERRIDE=FQ","FILING_STATUS=MR","SCALING_FORMAT=MLN","Sort=A","Dates=H","DateFormat=P","Fill=—","Direction=H","UseDPDF=Y")</f>
        <v>1.2430000000000001</v>
      </c>
      <c r="T70" s="13">
        <f>_xll.BDH("ALNY US Equity","BS_COMMON_STOCK","FQ2 2023","FQ2 2023","Currency=USD","Period=FQ","BEST_FPERIOD_OVERRIDE=FQ","FILING_STATUS=MR","SCALING_FORMAT=MLN","Sort=A","Dates=H","DateFormat=P","Fill=—","Direction=H","UseDPDF=Y")</f>
        <v>1.25</v>
      </c>
      <c r="U70" s="13">
        <f>_xll.BDH("ALNY US Equity","BS_COMMON_STOCK","FQ3 2023","FQ3 2023","Currency=USD","Period=FQ","BEST_FPERIOD_OVERRIDE=FQ","FILING_STATUS=MR","SCALING_FORMAT=MLN","Sort=A","Dates=H","DateFormat=P","Fill=—","Direction=H","UseDPDF=Y")</f>
        <v>1.2549999999999999</v>
      </c>
      <c r="V70" s="13">
        <f>_xll.BDH("ALNY US Equity","BS_COMMON_STOCK","FQ4 2023","FQ4 2023","Currency=USD","Period=FQ","BEST_FPERIOD_OVERRIDE=FQ","FILING_STATUS=MR","SCALING_FORMAT=MLN","Sort=A","Dates=H","DateFormat=P","Fill=—","Direction=H","UseDPDF=Y")</f>
        <v>1.2589999999999999</v>
      </c>
      <c r="W70" s="13">
        <f>_xll.BDH("ALNY US Equity","BS_COMMON_STOCK","FQ1 2024","FQ1 2024","Currency=USD","Period=FQ","BEST_FPERIOD_OVERRIDE=FQ","FILING_STATUS=MR","SCALING_FORMAT=MLN","Sort=A","Dates=H","DateFormat=P","Fill=—","Direction=H","UseDPDF=Y")</f>
        <v>1.2649999999999999</v>
      </c>
      <c r="X70" s="13">
        <f>_xll.BDH("ALNY US Equity","BS_COMMON_STOCK","FQ2 2024","FQ2 2024","Currency=USD","Period=FQ","BEST_FPERIOD_OVERRIDE=FQ","FILING_STATUS=MR","SCALING_FORMAT=MLN","Sort=A","Dates=H","DateFormat=P","Fill=—","Direction=H","UseDPDF=Y")</f>
        <v>1.2809999999999999</v>
      </c>
      <c r="Y70" s="13">
        <f>_xll.BDH("ALNY US Equity","BS_COMMON_STOCK","FQ3 2024","FQ3 2024","Currency=USD","Period=FQ","BEST_FPERIOD_OVERRIDE=FQ","FILING_STATUS=MR","SCALING_FORMAT=MLN","Sort=A","Dates=H","DateFormat=P","Fill=—","Direction=H","UseDPDF=Y")</f>
        <v>1.2889999999999999</v>
      </c>
      <c r="Z70" s="13">
        <f>_xll.BDH("ALNY US Equity","BS_COMMON_STOCK","FQ4 2024","FQ4 2024","Currency=USD","Period=FQ","BEST_FPERIOD_OVERRIDE=FQ","FILING_STATUS=MR","SCALING_FORMAT=MLN","Sort=A","Dates=H","DateFormat=P","Fill=—","Direction=H","UseDPDF=Y")</f>
        <v>1.2929999999999999</v>
      </c>
    </row>
    <row r="71" spans="1:26" x14ac:dyDescent="0.25">
      <c r="A71" s="10" t="s">
        <v>296</v>
      </c>
      <c r="B71" s="10" t="s">
        <v>297</v>
      </c>
      <c r="C71" s="13">
        <f>_xll.BDH("ALNY US Equity","BS_ADD_PAID_IN_CAP","FQ1 2019","FQ1 2019","Currency=USD","Period=FQ","BEST_FPERIOD_OVERRIDE=FQ","FILING_STATUS=MR","SCALING_FORMAT=MLN","Sort=A","Dates=H","DateFormat=P","Fill=—","Direction=H","UseDPDF=Y")</f>
        <v>4601.6620000000003</v>
      </c>
      <c r="D71" s="13">
        <f>_xll.BDH("ALNY US Equity","BS_ADD_PAID_IN_CAP","FQ2 2019","FQ2 2019","Currency=USD","Period=FQ","BEST_FPERIOD_OVERRIDE=FQ","FILING_STATUS=MR","SCALING_FORMAT=MLN","Sort=A","Dates=H","DateFormat=P","Fill=—","Direction=H","UseDPDF=Y")</f>
        <v>5034.2839999999997</v>
      </c>
      <c r="E71" s="13">
        <f>_xll.BDH("ALNY US Equity","BS_ADD_PAID_IN_CAP","FQ3 2019","FQ3 2019","Currency=USD","Period=FQ","BEST_FPERIOD_OVERRIDE=FQ","FILING_STATUS=MR","SCALING_FORMAT=MLN","Sort=A","Dates=H","DateFormat=P","Fill=—","Direction=H","UseDPDF=Y")</f>
        <v>5091.2479999999996</v>
      </c>
      <c r="F71" s="13">
        <f>_xll.BDH("ALNY US Equity","BS_ADD_PAID_IN_CAP","FQ4 2019","FQ4 2019","Currency=USD","Period=FQ","BEST_FPERIOD_OVERRIDE=FQ","FILING_STATUS=MR","SCALING_FORMAT=MLN","Sort=A","Dates=H","DateFormat=P","Fill=—","Direction=H","UseDPDF=Y")</f>
        <v>5201.1760000000004</v>
      </c>
      <c r="G71" s="13">
        <f>_xll.BDH("ALNY US Equity","BS_ADD_PAID_IN_CAP","FQ1 2020","FQ1 2020","Currency=USD","Period=FQ","BEST_FPERIOD_OVERRIDE=FQ","FILING_STATUS=MR","SCALING_FORMAT=MLN","Sort=A","Dates=H","DateFormat=P","Fill=—","Direction=H","UseDPDF=Y")</f>
        <v>5289.9660000000003</v>
      </c>
      <c r="H71" s="13">
        <f>_xll.BDH("ALNY US Equity","BS_ADD_PAID_IN_CAP","FQ2 2020","FQ2 2020","Currency=USD","Period=FQ","BEST_FPERIOD_OVERRIDE=FQ","FILING_STATUS=MR","SCALING_FORMAT=MLN","Sort=A","Dates=H","DateFormat=P","Fill=—","Direction=H","UseDPDF=Y")</f>
        <v>5520.32</v>
      </c>
      <c r="I71" s="13">
        <f>_xll.BDH("ALNY US Equity","BS_ADD_PAID_IN_CAP","FQ3 2020","FQ3 2020","Currency=USD","Period=FQ","BEST_FPERIOD_OVERRIDE=FQ","FILING_STATUS=MR","SCALING_FORMAT=MLN","Sort=A","Dates=H","DateFormat=P","Fill=—","Direction=H","UseDPDF=Y")</f>
        <v>5592.884</v>
      </c>
      <c r="J71" s="13">
        <f>_xll.BDH("ALNY US Equity","BS_ADD_PAID_IN_CAP","FQ4 2020","FQ4 2020","Currency=USD","Period=FQ","BEST_FPERIOD_OVERRIDE=FQ","FILING_STATUS=MR","SCALING_FORMAT=MLN","Sort=A","Dates=H","DateFormat=P","Fill=—","Direction=H","UseDPDF=Y")</f>
        <v>5644.0739999999996</v>
      </c>
      <c r="K71" s="13">
        <f>_xll.BDH("ALNY US Equity","BS_ADD_PAID_IN_CAP","FQ1 2021","FQ1 2021","Currency=USD","Period=FQ","BEST_FPERIOD_OVERRIDE=FQ","FILING_STATUS=MR","SCALING_FORMAT=MLN","Sort=A","Dates=H","DateFormat=P","Fill=—","Direction=H","UseDPDF=Y")</f>
        <v>5747.3940000000002</v>
      </c>
      <c r="L71" s="13">
        <f>_xll.BDH("ALNY US Equity","BS_ADD_PAID_IN_CAP","FQ2 2021","FQ2 2021","Currency=USD","Period=FQ","BEST_FPERIOD_OVERRIDE=FQ","FILING_STATUS=MR","SCALING_FORMAT=MLN","Sort=A","Dates=H","DateFormat=P","Fill=—","Direction=H","UseDPDF=Y")</f>
        <v>5863.4759999999997</v>
      </c>
      <c r="M71" s="13">
        <f>_xll.BDH("ALNY US Equity","BS_ADD_PAID_IN_CAP","FQ3 2021","FQ3 2021","Currency=USD","Period=FQ","BEST_FPERIOD_OVERRIDE=FQ","FILING_STATUS=MR","SCALING_FORMAT=MLN","Sort=A","Dates=H","DateFormat=P","Fill=—","Direction=H","UseDPDF=Y")</f>
        <v>5968.6610000000001</v>
      </c>
      <c r="N71" s="13">
        <f>_xll.BDH("ALNY US Equity","BS_ADD_PAID_IN_CAP","FQ4 2021","FQ4 2021","Currency=USD","Period=FQ","BEST_FPERIOD_OVERRIDE=FQ","FILING_STATUS=MR","SCALING_FORMAT=MLN","Sort=A","Dates=H","DateFormat=P","Fill=—","Direction=H","UseDPDF=Y")</f>
        <v>6058.4530000000004</v>
      </c>
      <c r="O71" s="13">
        <f>_xll.BDH("ALNY US Equity","BS_ADD_PAID_IN_CAP","FQ1 2022","FQ1 2022","Currency=USD","Period=FQ","BEST_FPERIOD_OVERRIDE=FQ","FILING_STATUS=MR","SCALING_FORMAT=MLN","Sort=A","Dates=H","DateFormat=P","Fill=—","Direction=H","UseDPDF=Y")</f>
        <v>6116.558</v>
      </c>
      <c r="P71" s="13">
        <f>_xll.BDH("ALNY US Equity","BS_ADD_PAID_IN_CAP","FQ2 2022","FQ2 2022","Currency=USD","Period=FQ","BEST_FPERIOD_OVERRIDE=FQ","FILING_STATUS=MR","SCALING_FORMAT=MLN","Sort=A","Dates=H","DateFormat=P","Fill=—","Direction=H","UseDPDF=Y")</f>
        <v>6172.99</v>
      </c>
      <c r="Q71" s="13">
        <f>_xll.BDH("ALNY US Equity","BS_ADD_PAID_IN_CAP","FQ3 2022","FQ3 2022","Currency=USD","Period=FQ","BEST_FPERIOD_OVERRIDE=FQ","FILING_STATUS=MR","SCALING_FORMAT=MLN","Sort=A","Dates=H","DateFormat=P","Fill=—","Direction=H","UseDPDF=Y")</f>
        <v>6336.7709999999997</v>
      </c>
      <c r="R71" s="13">
        <f>_xll.BDH("ALNY US Equity","BS_ADD_PAID_IN_CAP","FQ4 2022","FQ4 2022","Currency=USD","Period=FQ","BEST_FPERIOD_OVERRIDE=FQ","FILING_STATUS=MR","SCALING_FORMAT=MLN","Sort=A","Dates=H","DateFormat=P","Fill=—","Direction=H","UseDPDF=Y")</f>
        <v>6454.54</v>
      </c>
      <c r="S71" s="13">
        <f>_xll.BDH("ALNY US Equity","BS_ADD_PAID_IN_CAP","FQ1 2023","FQ1 2023","Currency=USD","Period=FQ","BEST_FPERIOD_OVERRIDE=FQ","FILING_STATUS=MR","SCALING_FORMAT=MLN","Sort=A","Dates=H","DateFormat=P","Fill=—","Direction=H","UseDPDF=Y")</f>
        <v>6522.0910000000003</v>
      </c>
      <c r="T71" s="13">
        <f>_xll.BDH("ALNY US Equity","BS_ADD_PAID_IN_CAP","FQ2 2023","FQ2 2023","Currency=USD","Period=FQ","BEST_FPERIOD_OVERRIDE=FQ","FILING_STATUS=MR","SCALING_FORMAT=MLN","Sort=A","Dates=H","DateFormat=P","Fill=—","Direction=H","UseDPDF=Y")</f>
        <v>6647.1729999999998</v>
      </c>
      <c r="U71" s="13">
        <f>_xll.BDH("ALNY US Equity","BS_ADD_PAID_IN_CAP","FQ3 2023","FQ3 2023","Currency=USD","Period=FQ","BEST_FPERIOD_OVERRIDE=FQ","FILING_STATUS=MR","SCALING_FORMAT=MLN","Sort=A","Dates=H","DateFormat=P","Fill=—","Direction=H","UseDPDF=Y")</f>
        <v>6736.9390000000003</v>
      </c>
      <c r="V71" s="13">
        <f>_xll.BDH("ALNY US Equity","BS_ADD_PAID_IN_CAP","FQ4 2023","FQ4 2023","Currency=USD","Period=FQ","BEST_FPERIOD_OVERRIDE=FQ","FILING_STATUS=MR","SCALING_FORMAT=MLN","Sort=A","Dates=H","DateFormat=P","Fill=—","Direction=H","UseDPDF=Y")</f>
        <v>6811.0630000000001</v>
      </c>
      <c r="W71" s="13">
        <f>_xll.BDH("ALNY US Equity","BS_ADD_PAID_IN_CAP","FQ1 2024","FQ1 2024","Currency=USD","Period=FQ","BEST_FPERIOD_OVERRIDE=FQ","FILING_STATUS=MR","SCALING_FORMAT=MLN","Sort=A","Dates=H","DateFormat=P","Fill=—","Direction=H","UseDPDF=Y")</f>
        <v>6881.9769999999999</v>
      </c>
      <c r="X71" s="13">
        <f>_xll.BDH("ALNY US Equity","BS_ADD_PAID_IN_CAP","FQ2 2024","FQ2 2024","Currency=USD","Period=FQ","BEST_FPERIOD_OVERRIDE=FQ","FILING_STATUS=MR","SCALING_FORMAT=MLN","Sort=A","Dates=H","DateFormat=P","Fill=—","Direction=H","UseDPDF=Y")</f>
        <v>7122.7039999999997</v>
      </c>
      <c r="Y71" s="13">
        <f>_xll.BDH("ALNY US Equity","BS_ADD_PAID_IN_CAP","FQ3 2024","FQ3 2024","Currency=USD","Period=FQ","BEST_FPERIOD_OVERRIDE=FQ","FILING_STATUS=MR","SCALING_FORMAT=MLN","Sort=A","Dates=H","DateFormat=P","Fill=—","Direction=H","UseDPDF=Y")</f>
        <v>7259.8760000000002</v>
      </c>
      <c r="Z71" s="13">
        <f>_xll.BDH("ALNY US Equity","BS_ADD_PAID_IN_CAP","FQ4 2024","FQ4 2024","Currency=USD","Period=FQ","BEST_FPERIOD_OVERRIDE=FQ","FILING_STATUS=MR","SCALING_FORMAT=MLN","Sort=A","Dates=H","DateFormat=P","Fill=—","Direction=H","UseDPDF=Y")</f>
        <v>7388.0609999999997</v>
      </c>
    </row>
    <row r="72" spans="1:26" x14ac:dyDescent="0.25">
      <c r="A72" s="10" t="s">
        <v>298</v>
      </c>
      <c r="B72" s="10" t="s">
        <v>299</v>
      </c>
      <c r="C72" s="13">
        <f>_xll.BDH("ALNY US Equity","BS_AMT_OF_TSY_STOCK","FQ1 2019","FQ1 2019","Currency=USD","Period=FQ","BEST_FPERIOD_OVERRIDE=FQ","FILING_STATUS=MR","SCALING_FORMAT=MLN","Sort=A","Dates=H","DateFormat=P","Fill=—","Direction=H","UseDPDF=Y")</f>
        <v>0</v>
      </c>
      <c r="D72" s="13">
        <f>_xll.BDH("ALNY US Equity","BS_AMT_OF_TSY_STOCK","FQ2 2019","FQ2 2019","Currency=USD","Period=FQ","BEST_FPERIOD_OVERRIDE=FQ","FILING_STATUS=MR","SCALING_FORMAT=MLN","Sort=A","Dates=H","DateFormat=P","Fill=—","Direction=H","UseDPDF=Y")</f>
        <v>0</v>
      </c>
      <c r="E72" s="13">
        <f>_xll.BDH("ALNY US Equity","BS_AMT_OF_TSY_STOCK","FQ3 2019","FQ3 2019","Currency=USD","Period=FQ","BEST_FPERIOD_OVERRIDE=FQ","FILING_STATUS=MR","SCALING_FORMAT=MLN","Sort=A","Dates=H","DateFormat=P","Fill=—","Direction=H","UseDPDF=Y")</f>
        <v>0</v>
      </c>
      <c r="F72" s="13">
        <f>_xll.BDH("ALNY US Equity","BS_AMT_OF_TSY_STOCK","FQ4 2019","FQ4 2019","Currency=USD","Period=FQ","BEST_FPERIOD_OVERRIDE=FQ","FILING_STATUS=MR","SCALING_FORMAT=MLN","Sort=A","Dates=H","DateFormat=P","Fill=—","Direction=H","UseDPDF=Y")</f>
        <v>0</v>
      </c>
      <c r="G72" s="13">
        <f>_xll.BDH("ALNY US Equity","BS_AMT_OF_TSY_STOCK","FQ1 2020","FQ1 2020","Currency=USD","Period=FQ","BEST_FPERIOD_OVERRIDE=FQ","FILING_STATUS=MR","SCALING_FORMAT=MLN","Sort=A","Dates=H","DateFormat=P","Fill=—","Direction=H","UseDPDF=Y")</f>
        <v>0</v>
      </c>
      <c r="H72" s="13">
        <f>_xll.BDH("ALNY US Equity","BS_AMT_OF_TSY_STOCK","FQ2 2020","FQ2 2020","Currency=USD","Period=FQ","BEST_FPERIOD_OVERRIDE=FQ","FILING_STATUS=MR","SCALING_FORMAT=MLN","Sort=A","Dates=H","DateFormat=P","Fill=—","Direction=H","UseDPDF=Y")</f>
        <v>0</v>
      </c>
      <c r="I72" s="13">
        <f>_xll.BDH("ALNY US Equity","BS_AMT_OF_TSY_STOCK","FQ3 2020","FQ3 2020","Currency=USD","Period=FQ","BEST_FPERIOD_OVERRIDE=FQ","FILING_STATUS=MR","SCALING_FORMAT=MLN","Sort=A","Dates=H","DateFormat=P","Fill=—","Direction=H","UseDPDF=Y")</f>
        <v>0</v>
      </c>
      <c r="J72" s="13">
        <f>_xll.BDH("ALNY US Equity","BS_AMT_OF_TSY_STOCK","FQ4 2020","FQ4 2020","Currency=USD","Period=FQ","BEST_FPERIOD_OVERRIDE=FQ","FILING_STATUS=MR","SCALING_FORMAT=MLN","Sort=A","Dates=H","DateFormat=P","Fill=—","Direction=H","UseDPDF=Y")</f>
        <v>0</v>
      </c>
      <c r="K72" s="13">
        <f>_xll.BDH("ALNY US Equity","BS_AMT_OF_TSY_STOCK","FQ1 2021","FQ1 2021","Currency=USD","Period=FQ","BEST_FPERIOD_OVERRIDE=FQ","FILING_STATUS=MR","SCALING_FORMAT=MLN","Sort=A","Dates=H","DateFormat=P","Fill=—","Direction=H","UseDPDF=Y")</f>
        <v>0</v>
      </c>
      <c r="L72" s="13">
        <f>_xll.BDH("ALNY US Equity","BS_AMT_OF_TSY_STOCK","FQ2 2021","FQ2 2021","Currency=USD","Period=FQ","BEST_FPERIOD_OVERRIDE=FQ","FILING_STATUS=MR","SCALING_FORMAT=MLN","Sort=A","Dates=H","DateFormat=P","Fill=—","Direction=H","UseDPDF=Y")</f>
        <v>0</v>
      </c>
      <c r="M72" s="13">
        <f>_xll.BDH("ALNY US Equity","BS_AMT_OF_TSY_STOCK","FQ3 2021","FQ3 2021","Currency=USD","Period=FQ","BEST_FPERIOD_OVERRIDE=FQ","FILING_STATUS=MR","SCALING_FORMAT=MLN","Sort=A","Dates=H","DateFormat=P","Fill=—","Direction=H","UseDPDF=Y")</f>
        <v>0</v>
      </c>
      <c r="N72" s="13">
        <f>_xll.BDH("ALNY US Equity","BS_AMT_OF_TSY_STOCK","FQ4 2021","FQ4 2021","Currency=USD","Period=FQ","BEST_FPERIOD_OVERRIDE=FQ","FILING_STATUS=MR","SCALING_FORMAT=MLN","Sort=A","Dates=H","DateFormat=P","Fill=—","Direction=H","UseDPDF=Y")</f>
        <v>0</v>
      </c>
      <c r="O72" s="13">
        <f>_xll.BDH("ALNY US Equity","BS_AMT_OF_TSY_STOCK","FQ1 2022","FQ1 2022","Currency=USD","Period=FQ","BEST_FPERIOD_OVERRIDE=FQ","FILING_STATUS=MR","SCALING_FORMAT=MLN","Sort=A","Dates=H","DateFormat=P","Fill=—","Direction=H","UseDPDF=Y")</f>
        <v>0</v>
      </c>
      <c r="P72" s="13">
        <f>_xll.BDH("ALNY US Equity","BS_AMT_OF_TSY_STOCK","FQ2 2022","FQ2 2022","Currency=USD","Period=FQ","BEST_FPERIOD_OVERRIDE=FQ","FILING_STATUS=MR","SCALING_FORMAT=MLN","Sort=A","Dates=H","DateFormat=P","Fill=—","Direction=H","UseDPDF=Y")</f>
        <v>0</v>
      </c>
      <c r="Q72" s="13">
        <f>_xll.BDH("ALNY US Equity","BS_AMT_OF_TSY_STOCK","FQ3 2022","FQ3 2022","Currency=USD","Period=FQ","BEST_FPERIOD_OVERRIDE=FQ","FILING_STATUS=MR","SCALING_FORMAT=MLN","Sort=A","Dates=H","DateFormat=P","Fill=—","Direction=H","UseDPDF=Y")</f>
        <v>0</v>
      </c>
      <c r="R72" s="13">
        <f>_xll.BDH("ALNY US Equity","BS_AMT_OF_TSY_STOCK","FQ4 2022","FQ4 2022","Currency=USD","Period=FQ","BEST_FPERIOD_OVERRIDE=FQ","FILING_STATUS=MR","SCALING_FORMAT=MLN","Sort=A","Dates=H","DateFormat=P","Fill=—","Direction=H","UseDPDF=Y")</f>
        <v>0</v>
      </c>
      <c r="S72" s="13">
        <f>_xll.BDH("ALNY US Equity","BS_AMT_OF_TSY_STOCK","FQ1 2023","FQ1 2023","Currency=USD","Period=FQ","BEST_FPERIOD_OVERRIDE=FQ","FILING_STATUS=MR","SCALING_FORMAT=MLN","Sort=A","Dates=H","DateFormat=P","Fill=—","Direction=H","UseDPDF=Y")</f>
        <v>0</v>
      </c>
      <c r="T72" s="13">
        <f>_xll.BDH("ALNY US Equity","BS_AMT_OF_TSY_STOCK","FQ2 2023","FQ2 2023","Currency=USD","Period=FQ","BEST_FPERIOD_OVERRIDE=FQ","FILING_STATUS=MR","SCALING_FORMAT=MLN","Sort=A","Dates=H","DateFormat=P","Fill=—","Direction=H","UseDPDF=Y")</f>
        <v>0</v>
      </c>
      <c r="U72" s="13">
        <f>_xll.BDH("ALNY US Equity","BS_AMT_OF_TSY_STOCK","FQ3 2023","FQ3 2023","Currency=USD","Period=FQ","BEST_FPERIOD_OVERRIDE=FQ","FILING_STATUS=MR","SCALING_FORMAT=MLN","Sort=A","Dates=H","DateFormat=P","Fill=—","Direction=H","UseDPDF=Y")</f>
        <v>0</v>
      </c>
      <c r="V72" s="13">
        <f>_xll.BDH("ALNY US Equity","BS_AMT_OF_TSY_STOCK","FQ4 2023","FQ4 2023","Currency=USD","Period=FQ","BEST_FPERIOD_OVERRIDE=FQ","FILING_STATUS=MR","SCALING_FORMAT=MLN","Sort=A","Dates=H","DateFormat=P","Fill=—","Direction=H","UseDPDF=Y")</f>
        <v>0</v>
      </c>
      <c r="W72" s="13">
        <f>_xll.BDH("ALNY US Equity","BS_AMT_OF_TSY_STOCK","FQ1 2024","FQ1 2024","Currency=USD","Period=FQ","BEST_FPERIOD_OVERRIDE=FQ","FILING_STATUS=MR","SCALING_FORMAT=MLN","Sort=A","Dates=H","DateFormat=P","Fill=—","Direction=H","UseDPDF=Y")</f>
        <v>0</v>
      </c>
      <c r="X72" s="13">
        <f>_xll.BDH("ALNY US Equity","BS_AMT_OF_TSY_STOCK","FQ2 2024","FQ2 2024","Currency=USD","Period=FQ","BEST_FPERIOD_OVERRIDE=FQ","FILING_STATUS=MR","SCALING_FORMAT=MLN","Sort=A","Dates=H","DateFormat=P","Fill=—","Direction=H","UseDPDF=Y")</f>
        <v>0</v>
      </c>
      <c r="Y72" s="13">
        <f>_xll.BDH("ALNY US Equity","BS_AMT_OF_TSY_STOCK","FQ3 2024","FQ3 2024","Currency=USD","Period=FQ","BEST_FPERIOD_OVERRIDE=FQ","FILING_STATUS=MR","SCALING_FORMAT=MLN","Sort=A","Dates=H","DateFormat=P","Fill=—","Direction=H","UseDPDF=Y")</f>
        <v>0</v>
      </c>
      <c r="Z72" s="13">
        <f>_xll.BDH("ALNY US Equity","BS_AMT_OF_TSY_STOCK","FQ4 2024","FQ4 2024","Currency=USD","Period=FQ","BEST_FPERIOD_OVERRIDE=FQ","FILING_STATUS=MR","SCALING_FORMAT=MLN","Sort=A","Dates=H","DateFormat=P","Fill=—","Direction=H","UseDPDF=Y")</f>
        <v>0</v>
      </c>
    </row>
    <row r="73" spans="1:26" x14ac:dyDescent="0.25">
      <c r="A73" s="10" t="s">
        <v>300</v>
      </c>
      <c r="B73" s="10" t="s">
        <v>301</v>
      </c>
      <c r="C73" s="13">
        <f>_xll.BDH("ALNY US Equity","BS_PURE_RETAINED_EARNINGS","FQ1 2019","FQ1 2019","Currency=USD","Period=FQ","BEST_FPERIOD_OVERRIDE=FQ","FILING_STATUS=MR","SCALING_FORMAT=MLN","Sort=A","Dates=H","DateFormat=P","Fill=—","Direction=H","UseDPDF=Y")</f>
        <v>-3022.8870000000002</v>
      </c>
      <c r="D73" s="13">
        <f>_xll.BDH("ALNY US Equity","BS_PURE_RETAINED_EARNINGS","FQ2 2019","FQ2 2019","Currency=USD","Period=FQ","BEST_FPERIOD_OVERRIDE=FQ","FILING_STATUS=MR","SCALING_FORMAT=MLN","Sort=A","Dates=H","DateFormat=P","Fill=—","Direction=H","UseDPDF=Y")</f>
        <v>-3242.3679999999999</v>
      </c>
      <c r="E73" s="13">
        <f>_xll.BDH("ALNY US Equity","BS_PURE_RETAINED_EARNINGS","FQ3 2019","FQ3 2019","Currency=USD","Period=FQ","BEST_FPERIOD_OVERRIDE=FQ","FILING_STATUS=MR","SCALING_FORMAT=MLN","Sort=A","Dates=H","DateFormat=P","Fill=—","Direction=H","UseDPDF=Y")</f>
        <v>-3450.9029999999998</v>
      </c>
      <c r="F73" s="13">
        <f>_xll.BDH("ALNY US Equity","BS_PURE_RETAINED_EARNINGS","FQ4 2019","FQ4 2019","Currency=USD","Period=FQ","BEST_FPERIOD_OVERRIDE=FQ","FILING_STATUS=MR","SCALING_FORMAT=MLN","Sort=A","Dates=H","DateFormat=P","Fill=—","Direction=H","UseDPDF=Y")</f>
        <v>-3727.0880000000002</v>
      </c>
      <c r="G73" s="13">
        <f>_xll.BDH("ALNY US Equity","BS_PURE_RETAINED_EARNINGS","FQ1 2020","FQ1 2020","Currency=USD","Period=FQ","BEST_FPERIOD_OVERRIDE=FQ","FILING_STATUS=MR","SCALING_FORMAT=MLN","Sort=A","Dates=H","DateFormat=P","Fill=—","Direction=H","UseDPDF=Y")</f>
        <v>-3909.3090000000002</v>
      </c>
      <c r="H73" s="13">
        <f>_xll.BDH("ALNY US Equity","BS_PURE_RETAINED_EARNINGS","FQ2 2020","FQ2 2020","Currency=USD","Period=FQ","BEST_FPERIOD_OVERRIDE=FQ","FILING_STATUS=MR","SCALING_FORMAT=MLN","Sort=A","Dates=H","DateFormat=P","Fill=—","Direction=H","UseDPDF=Y")</f>
        <v>-4088.538</v>
      </c>
      <c r="I73" s="13">
        <f>_xll.BDH("ALNY US Equity","BS_PURE_RETAINED_EARNINGS","FQ3 2020","FQ3 2020","Currency=USD","Period=FQ","BEST_FPERIOD_OVERRIDE=FQ","FILING_STATUS=MR","SCALING_FORMAT=MLN","Sort=A","Dates=H","DateFormat=P","Fill=—","Direction=H","UseDPDF=Y")</f>
        <v>-4341.8289999999997</v>
      </c>
      <c r="J73" s="13">
        <f>_xll.BDH("ALNY US Equity","BS_PURE_RETAINED_EARNINGS","FQ4 2020","FQ4 2020","Currency=USD","Period=FQ","BEST_FPERIOD_OVERRIDE=FQ","FILING_STATUS=MR","SCALING_FORMAT=MLN","Sort=A","Dates=H","DateFormat=P","Fill=—","Direction=H","UseDPDF=Y")</f>
        <v>-4585.3689999999997</v>
      </c>
      <c r="K73" s="13">
        <f>_xll.BDH("ALNY US Equity","BS_PURE_RETAINED_EARNINGS","FQ1 2021","FQ1 2021","Currency=USD","Period=FQ","BEST_FPERIOD_OVERRIDE=FQ","FILING_STATUS=MR","SCALING_FORMAT=MLN","Sort=A","Dates=H","DateFormat=P","Fill=—","Direction=H","UseDPDF=Y")</f>
        <v>-4785.66</v>
      </c>
      <c r="L73" s="13">
        <f>_xll.BDH("ALNY US Equity","BS_PURE_RETAINED_EARNINGS","FQ2 2021","FQ2 2021","Currency=USD","Period=FQ","BEST_FPERIOD_OVERRIDE=FQ","FILING_STATUS=MR","SCALING_FORMAT=MLN","Sort=A","Dates=H","DateFormat=P","Fill=—","Direction=H","UseDPDF=Y")</f>
        <v>-4975.2190000000001</v>
      </c>
      <c r="M73" s="13">
        <f>_xll.BDH("ALNY US Equity","BS_PURE_RETAINED_EARNINGS","FQ3 2021","FQ3 2021","Currency=USD","Period=FQ","BEST_FPERIOD_OVERRIDE=FQ","FILING_STATUS=MR","SCALING_FORMAT=MLN","Sort=A","Dates=H","DateFormat=P","Fill=—","Direction=H","UseDPDF=Y")</f>
        <v>-5179.7330000000002</v>
      </c>
      <c r="N73" s="13">
        <f>_xll.BDH("ALNY US Equity","BS_PURE_RETAINED_EARNINGS","FQ4 2021","FQ4 2021","Currency=USD","Period=FQ","BEST_FPERIOD_OVERRIDE=FQ","FILING_STATUS=MR","SCALING_FORMAT=MLN","Sort=A","Dates=H","DateFormat=P","Fill=—","Direction=H","UseDPDF=Y")</f>
        <v>-5438.1930000000002</v>
      </c>
      <c r="O73" s="13">
        <f>_xll.BDH("ALNY US Equity","BS_PURE_RETAINED_EARNINGS","FQ1 2022","FQ1 2022","Currency=USD","Period=FQ","BEST_FPERIOD_OVERRIDE=FQ","FILING_STATUS=MR","SCALING_FORMAT=MLN","Sort=A","Dates=H","DateFormat=P","Fill=—","Direction=H","UseDPDF=Y")</f>
        <v>-5678.5339999999997</v>
      </c>
      <c r="P73" s="13">
        <f>_xll.BDH("ALNY US Equity","BS_PURE_RETAINED_EARNINGS","FQ2 2022","FQ2 2022","Currency=USD","Period=FQ","BEST_FPERIOD_OVERRIDE=FQ","FILING_STATUS=MR","SCALING_FORMAT=MLN","Sort=A","Dates=H","DateFormat=P","Fill=—","Direction=H","UseDPDF=Y")</f>
        <v>-5955.9359999999997</v>
      </c>
      <c r="Q73" s="13">
        <f>_xll.BDH("ALNY US Equity","BS_PURE_RETAINED_EARNINGS","FQ3 2022","FQ3 2022","Currency=USD","Period=FQ","BEST_FPERIOD_OVERRIDE=FQ","FILING_STATUS=MR","SCALING_FORMAT=MLN","Sort=A","Dates=H","DateFormat=P","Fill=—","Direction=H","UseDPDF=Y")</f>
        <v>-6361.8559999999998</v>
      </c>
      <c r="R73" s="13">
        <f>_xll.BDH("ALNY US Equity","BS_PURE_RETAINED_EARNINGS","FQ4 2022","FQ4 2022","Currency=USD","Period=FQ","BEST_FPERIOD_OVERRIDE=FQ","FILING_STATUS=MR","SCALING_FORMAT=MLN","Sort=A","Dates=H","DateFormat=P","Fill=—","Direction=H","UseDPDF=Y")</f>
        <v>-6569.3490000000002</v>
      </c>
      <c r="S73" s="13">
        <f>_xll.BDH("ALNY US Equity","BS_PURE_RETAINED_EARNINGS","FQ1 2023","FQ1 2023","Currency=USD","Period=FQ","BEST_FPERIOD_OVERRIDE=FQ","FILING_STATUS=MR","SCALING_FORMAT=MLN","Sort=A","Dates=H","DateFormat=P","Fill=—","Direction=H","UseDPDF=Y")</f>
        <v>-6743.45</v>
      </c>
      <c r="T73" s="13">
        <f>_xll.BDH("ALNY US Equity","BS_PURE_RETAINED_EARNINGS","FQ2 2023","FQ2 2023","Currency=USD","Period=FQ","BEST_FPERIOD_OVERRIDE=FQ","FILING_STATUS=MR","SCALING_FORMAT=MLN","Sort=A","Dates=H","DateFormat=P","Fill=—","Direction=H","UseDPDF=Y")</f>
        <v>-7019.4740000000002</v>
      </c>
      <c r="U73" s="13">
        <f>_xll.BDH("ALNY US Equity","BS_PURE_RETAINED_EARNINGS","FQ3 2023","FQ3 2023","Currency=USD","Period=FQ","BEST_FPERIOD_OVERRIDE=FQ","FILING_STATUS=MR","SCALING_FORMAT=MLN","Sort=A","Dates=H","DateFormat=P","Fill=—","Direction=H","UseDPDF=Y")</f>
        <v>-6871.7209999999995</v>
      </c>
      <c r="V73" s="13">
        <f>_xll.BDH("ALNY US Equity","BS_PURE_RETAINED_EARNINGS","FQ4 2023","FQ4 2023","Currency=USD","Period=FQ","BEST_FPERIOD_OVERRIDE=FQ","FILING_STATUS=MR","SCALING_FORMAT=MLN","Sort=A","Dates=H","DateFormat=P","Fill=—","Direction=H","UseDPDF=Y")</f>
        <v>-7009.5910000000003</v>
      </c>
      <c r="W73" s="13">
        <f>_xll.BDH("ALNY US Equity","BS_PURE_RETAINED_EARNINGS","FQ1 2024","FQ1 2024","Currency=USD","Period=FQ","BEST_FPERIOD_OVERRIDE=FQ","FILING_STATUS=MR","SCALING_FORMAT=MLN","Sort=A","Dates=H","DateFormat=P","Fill=—","Direction=H","UseDPDF=Y")</f>
        <v>-7075.5259999999998</v>
      </c>
      <c r="X73" s="13">
        <f>_xll.BDH("ALNY US Equity","BS_PURE_RETAINED_EARNINGS","FQ2 2024","FQ2 2024","Currency=USD","Period=FQ","BEST_FPERIOD_OVERRIDE=FQ","FILING_STATUS=MR","SCALING_FORMAT=MLN","Sort=A","Dates=H","DateFormat=P","Fill=—","Direction=H","UseDPDF=Y")</f>
        <v>-7092.415</v>
      </c>
      <c r="Y73" s="13">
        <f>_xll.BDH("ALNY US Equity","BS_PURE_RETAINED_EARNINGS","FQ3 2024","FQ3 2024","Currency=USD","Period=FQ","BEST_FPERIOD_OVERRIDE=FQ","FILING_STATUS=MR","SCALING_FORMAT=MLN","Sort=A","Dates=H","DateFormat=P","Fill=—","Direction=H","UseDPDF=Y")</f>
        <v>-7203.9849999999997</v>
      </c>
      <c r="Z73" s="13">
        <f>_xll.BDH("ALNY US Equity","BS_PURE_RETAINED_EARNINGS","FQ4 2024","FQ4 2024","Currency=USD","Period=FQ","BEST_FPERIOD_OVERRIDE=FQ","FILING_STATUS=MR","SCALING_FORMAT=MLN","Sort=A","Dates=H","DateFormat=P","Fill=—","Direction=H","UseDPDF=Y")</f>
        <v>-7287.7479999999996</v>
      </c>
    </row>
    <row r="74" spans="1:26" x14ac:dyDescent="0.25">
      <c r="A74" s="10" t="s">
        <v>302</v>
      </c>
      <c r="B74" s="10" t="s">
        <v>303</v>
      </c>
      <c r="C74" s="13">
        <f>_xll.BDH("ALNY US Equity","OTHER_EQUITY_RATIO","FQ1 2019","FQ1 2019","Currency=USD","Period=FQ","BEST_FPERIOD_OVERRIDE=FQ","FILING_STATUS=MR","SCALING_FORMAT=MLN","Sort=A","Dates=H","DateFormat=P","Fill=—","Direction=H","UseDPDF=Y")</f>
        <v>-32.853000000000002</v>
      </c>
      <c r="D74" s="13">
        <f>_xll.BDH("ALNY US Equity","OTHER_EQUITY_RATIO","FQ2 2019","FQ2 2019","Currency=USD","Period=FQ","BEST_FPERIOD_OVERRIDE=FQ","FILING_STATUS=MR","SCALING_FORMAT=MLN","Sort=A","Dates=H","DateFormat=P","Fill=—","Direction=H","UseDPDF=Y")</f>
        <v>-35.831000000000003</v>
      </c>
      <c r="E74" s="13">
        <f>_xll.BDH("ALNY US Equity","OTHER_EQUITY_RATIO","FQ3 2019","FQ3 2019","Currency=USD","Period=FQ","BEST_FPERIOD_OVERRIDE=FQ","FILING_STATUS=MR","SCALING_FORMAT=MLN","Sort=A","Dates=H","DateFormat=P","Fill=—","Direction=H","UseDPDF=Y")</f>
        <v>-34.371000000000002</v>
      </c>
      <c r="F74" s="13">
        <f>_xll.BDH("ALNY US Equity","OTHER_EQUITY_RATIO","FQ4 2019","FQ4 2019","Currency=USD","Period=FQ","BEST_FPERIOD_OVERRIDE=FQ","FILING_STATUS=MR","SCALING_FORMAT=MLN","Sort=A","Dates=H","DateFormat=P","Fill=—","Direction=H","UseDPDF=Y")</f>
        <v>-36.518000000000001</v>
      </c>
      <c r="G74" s="13">
        <f>_xll.BDH("ALNY US Equity","OTHER_EQUITY_RATIO","FQ1 2020","FQ1 2020","Currency=USD","Period=FQ","BEST_FPERIOD_OVERRIDE=FQ","FILING_STATUS=MR","SCALING_FORMAT=MLN","Sort=A","Dates=H","DateFormat=P","Fill=—","Direction=H","UseDPDF=Y")</f>
        <v>-32.058999999999997</v>
      </c>
      <c r="H74" s="13">
        <f>_xll.BDH("ALNY US Equity","OTHER_EQUITY_RATIO","FQ2 2020","FQ2 2020","Currency=USD","Period=FQ","BEST_FPERIOD_OVERRIDE=FQ","FILING_STATUS=MR","SCALING_FORMAT=MLN","Sort=A","Dates=H","DateFormat=P","Fill=—","Direction=H","UseDPDF=Y")</f>
        <v>-33.212000000000003</v>
      </c>
      <c r="I74" s="13">
        <f>_xll.BDH("ALNY US Equity","OTHER_EQUITY_RATIO","FQ3 2020","FQ3 2020","Currency=USD","Period=FQ","BEST_FPERIOD_OVERRIDE=FQ","FILING_STATUS=MR","SCALING_FORMAT=MLN","Sort=A","Dates=H","DateFormat=P","Fill=—","Direction=H","UseDPDF=Y")</f>
        <v>-37.192999999999998</v>
      </c>
      <c r="J74" s="13">
        <f>_xll.BDH("ALNY US Equity","OTHER_EQUITY_RATIO","FQ4 2020","FQ4 2020","Currency=USD","Period=FQ","BEST_FPERIOD_OVERRIDE=FQ","FILING_STATUS=MR","SCALING_FORMAT=MLN","Sort=A","Dates=H","DateFormat=P","Fill=—","Direction=H","UseDPDF=Y")</f>
        <v>-43.622</v>
      </c>
      <c r="K74" s="13">
        <f>_xll.BDH("ALNY US Equity","OTHER_EQUITY_RATIO","FQ1 2021","FQ1 2021","Currency=USD","Period=FQ","BEST_FPERIOD_OVERRIDE=FQ","FILING_STATUS=MR","SCALING_FORMAT=MLN","Sort=A","Dates=H","DateFormat=P","Fill=—","Direction=H","UseDPDF=Y")</f>
        <v>-36.716999999999999</v>
      </c>
      <c r="L74" s="13">
        <f>_xll.BDH("ALNY US Equity","OTHER_EQUITY_RATIO","FQ2 2021","FQ2 2021","Currency=USD","Period=FQ","BEST_FPERIOD_OVERRIDE=FQ","FILING_STATUS=MR","SCALING_FORMAT=MLN","Sort=A","Dates=H","DateFormat=P","Fill=—","Direction=H","UseDPDF=Y")</f>
        <v>-36.081000000000003</v>
      </c>
      <c r="M74" s="13">
        <f>_xll.BDH("ALNY US Equity","OTHER_EQUITY_RATIO","FQ3 2021","FQ3 2021","Currency=USD","Period=FQ","BEST_FPERIOD_OVERRIDE=FQ","FILING_STATUS=MR","SCALING_FORMAT=MLN","Sort=A","Dates=H","DateFormat=P","Fill=—","Direction=H","UseDPDF=Y")</f>
        <v>-34.229999999999997</v>
      </c>
      <c r="N74" s="13">
        <f>_xll.BDH("ALNY US Equity","OTHER_EQUITY_RATIO","FQ4 2021","FQ4 2021","Currency=USD","Period=FQ","BEST_FPERIOD_OVERRIDE=FQ","FILING_STATUS=MR","SCALING_FORMAT=MLN","Sort=A","Dates=H","DateFormat=P","Fill=—","Direction=H","UseDPDF=Y")</f>
        <v>-33.259</v>
      </c>
      <c r="O74" s="13">
        <f>_xll.BDH("ALNY US Equity","OTHER_EQUITY_RATIO","FQ1 2022","FQ1 2022","Currency=USD","Period=FQ","BEST_FPERIOD_OVERRIDE=FQ","FILING_STATUS=MR","SCALING_FORMAT=MLN","Sort=A","Dates=H","DateFormat=P","Fill=—","Direction=H","UseDPDF=Y")</f>
        <v>-38.064999999999998</v>
      </c>
      <c r="P74" s="13">
        <f>_xll.BDH("ALNY US Equity","OTHER_EQUITY_RATIO","FQ2 2022","FQ2 2022","Currency=USD","Period=FQ","BEST_FPERIOD_OVERRIDE=FQ","FILING_STATUS=MR","SCALING_FORMAT=MLN","Sort=A","Dates=H","DateFormat=P","Fill=—","Direction=H","UseDPDF=Y")</f>
        <v>-42.223999999999997</v>
      </c>
      <c r="Q74" s="13">
        <f>_xll.BDH("ALNY US Equity","OTHER_EQUITY_RATIO","FQ3 2022","FQ3 2022","Currency=USD","Period=FQ","BEST_FPERIOD_OVERRIDE=FQ","FILING_STATUS=MR","SCALING_FORMAT=MLN","Sort=A","Dates=H","DateFormat=P","Fill=—","Direction=H","UseDPDF=Y")</f>
        <v>-43.783000000000001</v>
      </c>
      <c r="R74" s="13">
        <f>_xll.BDH("ALNY US Equity","OTHER_EQUITY_RATIO","FQ4 2022","FQ4 2022","Currency=USD","Period=FQ","BEST_FPERIOD_OVERRIDE=FQ","FILING_STATUS=MR","SCALING_FORMAT=MLN","Sort=A","Dates=H","DateFormat=P","Fill=—","Direction=H","UseDPDF=Y")</f>
        <v>-44.654000000000003</v>
      </c>
      <c r="S74" s="13">
        <f>_xll.BDH("ALNY US Equity","OTHER_EQUITY_RATIO","FQ1 2023","FQ1 2023","Currency=USD","Period=FQ","BEST_FPERIOD_OVERRIDE=FQ","FILING_STATUS=MR","SCALING_FORMAT=MLN","Sort=A","Dates=H","DateFormat=P","Fill=—","Direction=H","UseDPDF=Y")</f>
        <v>-39.124000000000002</v>
      </c>
      <c r="T74" s="13">
        <f>_xll.BDH("ALNY US Equity","OTHER_EQUITY_RATIO","FQ2 2023","FQ2 2023","Currency=USD","Period=FQ","BEST_FPERIOD_OVERRIDE=FQ","FILING_STATUS=MR","SCALING_FORMAT=MLN","Sort=A","Dates=H","DateFormat=P","Fill=—","Direction=H","UseDPDF=Y")</f>
        <v>-37.08</v>
      </c>
      <c r="U74" s="13">
        <f>_xll.BDH("ALNY US Equity","OTHER_EQUITY_RATIO","FQ3 2023","FQ3 2023","Currency=USD","Period=FQ","BEST_FPERIOD_OVERRIDE=FQ","FILING_STATUS=MR","SCALING_FORMAT=MLN","Sort=A","Dates=H","DateFormat=P","Fill=—","Direction=H","UseDPDF=Y")</f>
        <v>-32.338999999999999</v>
      </c>
      <c r="V74" s="13">
        <f>_xll.BDH("ALNY US Equity","OTHER_EQUITY_RATIO","FQ4 2023","FQ4 2023","Currency=USD","Period=FQ","BEST_FPERIOD_OVERRIDE=FQ","FILING_STATUS=MR","SCALING_FORMAT=MLN","Sort=A","Dates=H","DateFormat=P","Fill=—","Direction=H","UseDPDF=Y")</f>
        <v>-23.375</v>
      </c>
      <c r="W74" s="13">
        <f>_xll.BDH("ALNY US Equity","OTHER_EQUITY_RATIO","FQ1 2024","FQ1 2024","Currency=USD","Period=FQ","BEST_FPERIOD_OVERRIDE=FQ","FILING_STATUS=MR","SCALING_FORMAT=MLN","Sort=A","Dates=H","DateFormat=P","Fill=—","Direction=H","UseDPDF=Y")</f>
        <v>-26.988</v>
      </c>
      <c r="X74" s="13">
        <f>_xll.BDH("ALNY US Equity","OTHER_EQUITY_RATIO","FQ2 2024","FQ2 2024","Currency=USD","Period=FQ","BEST_FPERIOD_OVERRIDE=FQ","FILING_STATUS=MR","SCALING_FORMAT=MLN","Sort=A","Dates=H","DateFormat=P","Fill=—","Direction=H","UseDPDF=Y")</f>
        <v>-34.637</v>
      </c>
      <c r="Y74" s="13">
        <f>_xll.BDH("ALNY US Equity","OTHER_EQUITY_RATIO","FQ3 2024","FQ3 2024","Currency=USD","Period=FQ","BEST_FPERIOD_OVERRIDE=FQ","FILING_STATUS=MR","SCALING_FORMAT=MLN","Sort=A","Dates=H","DateFormat=P","Fill=—","Direction=H","UseDPDF=Y")</f>
        <v>-24.826000000000001</v>
      </c>
      <c r="Z74" s="13">
        <f>_xll.BDH("ALNY US Equity","OTHER_EQUITY_RATIO","FQ4 2024","FQ4 2024","Currency=USD","Period=FQ","BEST_FPERIOD_OVERRIDE=FQ","FILING_STATUS=MR","SCALING_FORMAT=MLN","Sort=A","Dates=H","DateFormat=P","Fill=—","Direction=H","UseDPDF=Y")</f>
        <v>-34.518000000000001</v>
      </c>
    </row>
    <row r="75" spans="1:26" x14ac:dyDescent="0.25">
      <c r="A75" s="6" t="s">
        <v>304</v>
      </c>
      <c r="B75" s="6" t="s">
        <v>305</v>
      </c>
      <c r="C75" s="16">
        <f>_xll.BDH("ALNY US Equity","EQTY_BEF_MINORITY_INT_DETAILED","FQ1 2019","FQ1 2019","Currency=USD","Period=FQ","BEST_FPERIOD_OVERRIDE=FQ","FILING_STATUS=MR","SCALING_FORMAT=MLN","Sort=A","Dates=H","DateFormat=P","Fill=—","Direction=H","UseDPDF=Y")</f>
        <v>1546.9860000000001</v>
      </c>
      <c r="D75" s="16">
        <f>_xll.BDH("ALNY US Equity","EQTY_BEF_MINORITY_INT_DETAILED","FQ2 2019","FQ2 2019","Currency=USD","Period=FQ","BEST_FPERIOD_OVERRIDE=FQ","FILING_STATUS=MR","SCALING_FORMAT=MLN","Sort=A","Dates=H","DateFormat=P","Fill=—","Direction=H","UseDPDF=Y")</f>
        <v>1757.1949999999999</v>
      </c>
      <c r="E75" s="16">
        <f>_xll.BDH("ALNY US Equity","EQTY_BEF_MINORITY_INT_DETAILED","FQ3 2019","FQ3 2019","Currency=USD","Period=FQ","BEST_FPERIOD_OVERRIDE=FQ","FILING_STATUS=MR","SCALING_FORMAT=MLN","Sort=A","Dates=H","DateFormat=P","Fill=—","Direction=H","UseDPDF=Y")</f>
        <v>1607.087</v>
      </c>
      <c r="F75" s="16">
        <f>_xll.BDH("ALNY US Equity","EQTY_BEF_MINORITY_INT_DETAILED","FQ4 2019","FQ4 2019","Currency=USD","Period=FQ","BEST_FPERIOD_OVERRIDE=FQ","FILING_STATUS=MR","SCALING_FORMAT=MLN","Sort=A","Dates=H","DateFormat=P","Fill=—","Direction=H","UseDPDF=Y")</f>
        <v>1438.692</v>
      </c>
      <c r="G75" s="16">
        <f>_xll.BDH("ALNY US Equity","EQTY_BEF_MINORITY_INT_DETAILED","FQ1 2020","FQ1 2020","Currency=USD","Period=FQ","BEST_FPERIOD_OVERRIDE=FQ","FILING_STATUS=MR","SCALING_FORMAT=MLN","Sort=A","Dates=H","DateFormat=P","Fill=—","Direction=H","UseDPDF=Y")</f>
        <v>1349.729</v>
      </c>
      <c r="H75" s="16">
        <f>_xll.BDH("ALNY US Equity","EQTY_BEF_MINORITY_INT_DETAILED","FQ2 2020","FQ2 2020","Currency=USD","Period=FQ","BEST_FPERIOD_OVERRIDE=FQ","FILING_STATUS=MR","SCALING_FORMAT=MLN","Sort=A","Dates=H","DateFormat=P","Fill=—","Direction=H","UseDPDF=Y")</f>
        <v>1399.7260000000001</v>
      </c>
      <c r="I75" s="16">
        <f>_xll.BDH("ALNY US Equity","EQTY_BEF_MINORITY_INT_DETAILED","FQ3 2020","FQ3 2020","Currency=USD","Period=FQ","BEST_FPERIOD_OVERRIDE=FQ","FILING_STATUS=MR","SCALING_FORMAT=MLN","Sort=A","Dates=H","DateFormat=P","Fill=—","Direction=H","UseDPDF=Y")</f>
        <v>1215.0229999999999</v>
      </c>
      <c r="J75" s="16">
        <f>_xll.BDH("ALNY US Equity","EQTY_BEF_MINORITY_INT_DETAILED","FQ4 2020","FQ4 2020","Currency=USD","Period=FQ","BEST_FPERIOD_OVERRIDE=FQ","FILING_STATUS=MR","SCALING_FORMAT=MLN","Sort=A","Dates=H","DateFormat=P","Fill=—","Direction=H","UseDPDF=Y")</f>
        <v>1016.247</v>
      </c>
      <c r="K75" s="16">
        <f>_xll.BDH("ALNY US Equity","EQTY_BEF_MINORITY_INT_DETAILED","FQ1 2021","FQ1 2021","Currency=USD","Period=FQ","BEST_FPERIOD_OVERRIDE=FQ","FILING_STATUS=MR","SCALING_FORMAT=MLN","Sort=A","Dates=H","DateFormat=P","Fill=—","Direction=H","UseDPDF=Y")</f>
        <v>926.19</v>
      </c>
      <c r="L75" s="16">
        <f>_xll.BDH("ALNY US Equity","EQTY_BEF_MINORITY_INT_DETAILED","FQ2 2021","FQ2 2021","Currency=USD","Period=FQ","BEST_FPERIOD_OVERRIDE=FQ","FILING_STATUS=MR","SCALING_FORMAT=MLN","Sort=A","Dates=H","DateFormat=P","Fill=—","Direction=H","UseDPDF=Y")</f>
        <v>853.36199999999997</v>
      </c>
      <c r="M75" s="16">
        <f>_xll.BDH("ALNY US Equity","EQTY_BEF_MINORITY_INT_DETAILED","FQ3 2021","FQ3 2021","Currency=USD","Period=FQ","BEST_FPERIOD_OVERRIDE=FQ","FILING_STATUS=MR","SCALING_FORMAT=MLN","Sort=A","Dates=H","DateFormat=P","Fill=—","Direction=H","UseDPDF=Y")</f>
        <v>755.89300000000003</v>
      </c>
      <c r="N75" s="16">
        <f>_xll.BDH("ALNY US Equity","EQTY_BEF_MINORITY_INT_DETAILED","FQ4 2021","FQ4 2021","Currency=USD","Period=FQ","BEST_FPERIOD_OVERRIDE=FQ","FILING_STATUS=MR","SCALING_FORMAT=MLN","Sort=A","Dates=H","DateFormat=P","Fill=—","Direction=H","UseDPDF=Y")</f>
        <v>588.20299999999997</v>
      </c>
      <c r="O75" s="16">
        <f>_xll.BDH("ALNY US Equity","EQTY_BEF_MINORITY_INT_DETAILED","FQ1 2022","FQ1 2022","Currency=USD","Period=FQ","BEST_FPERIOD_OVERRIDE=FQ","FILING_STATUS=MR","SCALING_FORMAT=MLN","Sort=A","Dates=H","DateFormat=P","Fill=—","Direction=H","UseDPDF=Y")</f>
        <v>401.166</v>
      </c>
      <c r="P75" s="16">
        <f>_xll.BDH("ALNY US Equity","EQTY_BEF_MINORITY_INT_DETAILED","FQ2 2022","FQ2 2022","Currency=USD","Period=FQ","BEST_FPERIOD_OVERRIDE=FQ","FILING_STATUS=MR","SCALING_FORMAT=MLN","Sort=A","Dates=H","DateFormat=P","Fill=—","Direction=H","UseDPDF=Y")</f>
        <v>176.04</v>
      </c>
      <c r="Q75" s="16">
        <f>_xll.BDH("ALNY US Equity","EQTY_BEF_MINORITY_INT_DETAILED","FQ3 2022","FQ3 2022","Currency=USD","Period=FQ","BEST_FPERIOD_OVERRIDE=FQ","FILING_STATUS=MR","SCALING_FORMAT=MLN","Sort=A","Dates=H","DateFormat=P","Fill=—","Direction=H","UseDPDF=Y")</f>
        <v>-67.638000000000005</v>
      </c>
      <c r="R75" s="16">
        <f>_xll.BDH("ALNY US Equity","EQTY_BEF_MINORITY_INT_DETAILED","FQ4 2022","FQ4 2022","Currency=USD","Period=FQ","BEST_FPERIOD_OVERRIDE=FQ","FILING_STATUS=MR","SCALING_FORMAT=MLN","Sort=A","Dates=H","DateFormat=P","Fill=—","Direction=H","UseDPDF=Y")</f>
        <v>-158.22300000000001</v>
      </c>
      <c r="S75" s="16">
        <f>_xll.BDH("ALNY US Equity","EQTY_BEF_MINORITY_INT_DETAILED","FQ1 2023","FQ1 2023","Currency=USD","Period=FQ","BEST_FPERIOD_OVERRIDE=FQ","FILING_STATUS=MR","SCALING_FORMAT=MLN","Sort=A","Dates=H","DateFormat=P","Fill=—","Direction=H","UseDPDF=Y")</f>
        <v>-259.24</v>
      </c>
      <c r="T75" s="16">
        <f>_xll.BDH("ALNY US Equity","EQTY_BEF_MINORITY_INT_DETAILED","FQ2 2023","FQ2 2023","Currency=USD","Period=FQ","BEST_FPERIOD_OVERRIDE=FQ","FILING_STATUS=MR","SCALING_FORMAT=MLN","Sort=A","Dates=H","DateFormat=P","Fill=—","Direction=H","UseDPDF=Y")</f>
        <v>-408.13099999999997</v>
      </c>
      <c r="U75" s="16">
        <f>_xll.BDH("ALNY US Equity","EQTY_BEF_MINORITY_INT_DETAILED","FQ3 2023","FQ3 2023","Currency=USD","Period=FQ","BEST_FPERIOD_OVERRIDE=FQ","FILING_STATUS=MR","SCALING_FORMAT=MLN","Sort=A","Dates=H","DateFormat=P","Fill=—","Direction=H","UseDPDF=Y")</f>
        <v>-165.86600000000001</v>
      </c>
      <c r="V75" s="16">
        <f>_xll.BDH("ALNY US Equity","EQTY_BEF_MINORITY_INT_DETAILED","FQ4 2023","FQ4 2023","Currency=USD","Period=FQ","BEST_FPERIOD_OVERRIDE=FQ","FILING_STATUS=MR","SCALING_FORMAT=MLN","Sort=A","Dates=H","DateFormat=P","Fill=—","Direction=H","UseDPDF=Y")</f>
        <v>-220.64400000000001</v>
      </c>
      <c r="W75" s="16">
        <f>_xll.BDH("ALNY US Equity","EQTY_BEF_MINORITY_INT_DETAILED","FQ1 2024","FQ1 2024","Currency=USD","Period=FQ","BEST_FPERIOD_OVERRIDE=FQ","FILING_STATUS=MR","SCALING_FORMAT=MLN","Sort=A","Dates=H","DateFormat=P","Fill=—","Direction=H","UseDPDF=Y")</f>
        <v>-219.27199999999999</v>
      </c>
      <c r="X75" s="16">
        <f>_xll.BDH("ALNY US Equity","EQTY_BEF_MINORITY_INT_DETAILED","FQ2 2024","FQ2 2024","Currency=USD","Period=FQ","BEST_FPERIOD_OVERRIDE=FQ","FILING_STATUS=MR","SCALING_FORMAT=MLN","Sort=A","Dates=H","DateFormat=P","Fill=—","Direction=H","UseDPDF=Y")</f>
        <v>-3.0670000000000002</v>
      </c>
      <c r="Y75" s="16">
        <f>_xll.BDH("ALNY US Equity","EQTY_BEF_MINORITY_INT_DETAILED","FQ3 2024","FQ3 2024","Currency=USD","Period=FQ","BEST_FPERIOD_OVERRIDE=FQ","FILING_STATUS=MR","SCALING_FORMAT=MLN","Sort=A","Dates=H","DateFormat=P","Fill=—","Direction=H","UseDPDF=Y")</f>
        <v>32.353999999999999</v>
      </c>
      <c r="Z75" s="16">
        <f>_xll.BDH("ALNY US Equity","EQTY_BEF_MINORITY_INT_DETAILED","FQ4 2024","FQ4 2024","Currency=USD","Period=FQ","BEST_FPERIOD_OVERRIDE=FQ","FILING_STATUS=MR","SCALING_FORMAT=MLN","Sort=A","Dates=H","DateFormat=P","Fill=—","Direction=H","UseDPDF=Y")</f>
        <v>67.087999999999994</v>
      </c>
    </row>
    <row r="76" spans="1:26" x14ac:dyDescent="0.25">
      <c r="A76" s="10" t="s">
        <v>306</v>
      </c>
      <c r="B76" s="10" t="s">
        <v>307</v>
      </c>
      <c r="C76" s="13">
        <f>_xll.BDH("ALNY US Equity","MINORITY_NONCONTROLLING_INTEREST","FQ1 2019","FQ1 2019","Currency=USD","Period=FQ","BEST_FPERIOD_OVERRIDE=FQ","FILING_STATUS=MR","SCALING_FORMAT=MLN","Sort=A","Dates=H","DateFormat=P","Fill=—","Direction=H","UseDPDF=Y")</f>
        <v>0</v>
      </c>
      <c r="D76" s="13">
        <f>_xll.BDH("ALNY US Equity","MINORITY_NONCONTROLLING_INTEREST","FQ2 2019","FQ2 2019","Currency=USD","Period=FQ","BEST_FPERIOD_OVERRIDE=FQ","FILING_STATUS=MR","SCALING_FORMAT=MLN","Sort=A","Dates=H","DateFormat=P","Fill=—","Direction=H","UseDPDF=Y")</f>
        <v>0</v>
      </c>
      <c r="E76" s="13">
        <f>_xll.BDH("ALNY US Equity","MINORITY_NONCONTROLLING_INTEREST","FQ3 2019","FQ3 2019","Currency=USD","Period=FQ","BEST_FPERIOD_OVERRIDE=FQ","FILING_STATUS=MR","SCALING_FORMAT=MLN","Sort=A","Dates=H","DateFormat=P","Fill=—","Direction=H","UseDPDF=Y")</f>
        <v>0</v>
      </c>
      <c r="F76" s="13">
        <f>_xll.BDH("ALNY US Equity","MINORITY_NONCONTROLLING_INTEREST","FQ4 2019","FQ4 2019","Currency=USD","Period=FQ","BEST_FPERIOD_OVERRIDE=FQ","FILING_STATUS=MR","SCALING_FORMAT=MLN","Sort=A","Dates=H","DateFormat=P","Fill=—","Direction=H","UseDPDF=Y")</f>
        <v>0</v>
      </c>
      <c r="G76" s="13">
        <f>_xll.BDH("ALNY US Equity","MINORITY_NONCONTROLLING_INTEREST","FQ1 2020","FQ1 2020","Currency=USD","Period=FQ","BEST_FPERIOD_OVERRIDE=FQ","FILING_STATUS=MR","SCALING_FORMAT=MLN","Sort=A","Dates=H","DateFormat=P","Fill=—","Direction=H","UseDPDF=Y")</f>
        <v>0</v>
      </c>
      <c r="H76" s="13">
        <f>_xll.BDH("ALNY US Equity","MINORITY_NONCONTROLLING_INTEREST","FQ2 2020","FQ2 2020","Currency=USD","Period=FQ","BEST_FPERIOD_OVERRIDE=FQ","FILING_STATUS=MR","SCALING_FORMAT=MLN","Sort=A","Dates=H","DateFormat=P","Fill=—","Direction=H","UseDPDF=Y")</f>
        <v>0</v>
      </c>
      <c r="I76" s="13">
        <f>_xll.BDH("ALNY US Equity","MINORITY_NONCONTROLLING_INTEREST","FQ3 2020","FQ3 2020","Currency=USD","Period=FQ","BEST_FPERIOD_OVERRIDE=FQ","FILING_STATUS=MR","SCALING_FORMAT=MLN","Sort=A","Dates=H","DateFormat=P","Fill=—","Direction=H","UseDPDF=Y")</f>
        <v>0</v>
      </c>
      <c r="J76" s="13">
        <f>_xll.BDH("ALNY US Equity","MINORITY_NONCONTROLLING_INTEREST","FQ4 2020","FQ4 2020","Currency=USD","Period=FQ","BEST_FPERIOD_OVERRIDE=FQ","FILING_STATUS=MR","SCALING_FORMAT=MLN","Sort=A","Dates=H","DateFormat=P","Fill=—","Direction=H","UseDPDF=Y")</f>
        <v>0</v>
      </c>
      <c r="K76" s="13">
        <f>_xll.BDH("ALNY US Equity","MINORITY_NONCONTROLLING_INTEREST","FQ1 2021","FQ1 2021","Currency=USD","Period=FQ","BEST_FPERIOD_OVERRIDE=FQ","FILING_STATUS=MR","SCALING_FORMAT=MLN","Sort=A","Dates=H","DateFormat=P","Fill=—","Direction=H","UseDPDF=Y")</f>
        <v>0</v>
      </c>
      <c r="L76" s="13">
        <f>_xll.BDH("ALNY US Equity","MINORITY_NONCONTROLLING_INTEREST","FQ2 2021","FQ2 2021","Currency=USD","Period=FQ","BEST_FPERIOD_OVERRIDE=FQ","FILING_STATUS=MR","SCALING_FORMAT=MLN","Sort=A","Dates=H","DateFormat=P","Fill=—","Direction=H","UseDPDF=Y")</f>
        <v>0</v>
      </c>
      <c r="M76" s="13">
        <f>_xll.BDH("ALNY US Equity","MINORITY_NONCONTROLLING_INTEREST","FQ3 2021","FQ3 2021","Currency=USD","Period=FQ","BEST_FPERIOD_OVERRIDE=FQ","FILING_STATUS=MR","SCALING_FORMAT=MLN","Sort=A","Dates=H","DateFormat=P","Fill=—","Direction=H","UseDPDF=Y")</f>
        <v>0</v>
      </c>
      <c r="N76" s="13">
        <f>_xll.BDH("ALNY US Equity","MINORITY_NONCONTROLLING_INTEREST","FQ4 2021","FQ4 2021","Currency=USD","Period=FQ","BEST_FPERIOD_OVERRIDE=FQ","FILING_STATUS=MR","SCALING_FORMAT=MLN","Sort=A","Dates=H","DateFormat=P","Fill=—","Direction=H","UseDPDF=Y")</f>
        <v>0</v>
      </c>
      <c r="O76" s="13">
        <f>_xll.BDH("ALNY US Equity","MINORITY_NONCONTROLLING_INTEREST","FQ1 2022","FQ1 2022","Currency=USD","Period=FQ","BEST_FPERIOD_OVERRIDE=FQ","FILING_STATUS=MR","SCALING_FORMAT=MLN","Sort=A","Dates=H","DateFormat=P","Fill=—","Direction=H","UseDPDF=Y")</f>
        <v>0</v>
      </c>
      <c r="P76" s="13">
        <f>_xll.BDH("ALNY US Equity","MINORITY_NONCONTROLLING_INTEREST","FQ2 2022","FQ2 2022","Currency=USD","Period=FQ","BEST_FPERIOD_OVERRIDE=FQ","FILING_STATUS=MR","SCALING_FORMAT=MLN","Sort=A","Dates=H","DateFormat=P","Fill=—","Direction=H","UseDPDF=Y")</f>
        <v>0</v>
      </c>
      <c r="Q76" s="13">
        <f>_xll.BDH("ALNY US Equity","MINORITY_NONCONTROLLING_INTEREST","FQ3 2022","FQ3 2022","Currency=USD","Period=FQ","BEST_FPERIOD_OVERRIDE=FQ","FILING_STATUS=MR","SCALING_FORMAT=MLN","Sort=A","Dates=H","DateFormat=P","Fill=—","Direction=H","UseDPDF=Y")</f>
        <v>0</v>
      </c>
      <c r="R76" s="13">
        <f>_xll.BDH("ALNY US Equity","MINORITY_NONCONTROLLING_INTEREST","FQ4 2022","FQ4 2022","Currency=USD","Period=FQ","BEST_FPERIOD_OVERRIDE=FQ","FILING_STATUS=MR","SCALING_FORMAT=MLN","Sort=A","Dates=H","DateFormat=P","Fill=—","Direction=H","UseDPDF=Y")</f>
        <v>0</v>
      </c>
      <c r="S76" s="13">
        <f>_xll.BDH("ALNY US Equity","MINORITY_NONCONTROLLING_INTEREST","FQ1 2023","FQ1 2023","Currency=USD","Period=FQ","BEST_FPERIOD_OVERRIDE=FQ","FILING_STATUS=MR","SCALING_FORMAT=MLN","Sort=A","Dates=H","DateFormat=P","Fill=—","Direction=H","UseDPDF=Y")</f>
        <v>0</v>
      </c>
      <c r="T76" s="13">
        <f>_xll.BDH("ALNY US Equity","MINORITY_NONCONTROLLING_INTEREST","FQ2 2023","FQ2 2023","Currency=USD","Period=FQ","BEST_FPERIOD_OVERRIDE=FQ","FILING_STATUS=MR","SCALING_FORMAT=MLN","Sort=A","Dates=H","DateFormat=P","Fill=—","Direction=H","UseDPDF=Y")</f>
        <v>0</v>
      </c>
      <c r="U76" s="13">
        <f>_xll.BDH("ALNY US Equity","MINORITY_NONCONTROLLING_INTEREST","FQ3 2023","FQ3 2023","Currency=USD","Period=FQ","BEST_FPERIOD_OVERRIDE=FQ","FILING_STATUS=MR","SCALING_FORMAT=MLN","Sort=A","Dates=H","DateFormat=P","Fill=—","Direction=H","UseDPDF=Y")</f>
        <v>0</v>
      </c>
      <c r="V76" s="13">
        <f>_xll.BDH("ALNY US Equity","MINORITY_NONCONTROLLING_INTEREST","FQ4 2023","FQ4 2023","Currency=USD","Period=FQ","BEST_FPERIOD_OVERRIDE=FQ","FILING_STATUS=MR","SCALING_FORMAT=MLN","Sort=A","Dates=H","DateFormat=P","Fill=—","Direction=H","UseDPDF=Y")</f>
        <v>0</v>
      </c>
      <c r="W76" s="13">
        <f>_xll.BDH("ALNY US Equity","MINORITY_NONCONTROLLING_INTEREST","FQ1 2024","FQ1 2024","Currency=USD","Period=FQ","BEST_FPERIOD_OVERRIDE=FQ","FILING_STATUS=MR","SCALING_FORMAT=MLN","Sort=A","Dates=H","DateFormat=P","Fill=—","Direction=H","UseDPDF=Y")</f>
        <v>0</v>
      </c>
      <c r="X76" s="13">
        <f>_xll.BDH("ALNY US Equity","MINORITY_NONCONTROLLING_INTEREST","FQ2 2024","FQ2 2024","Currency=USD","Period=FQ","BEST_FPERIOD_OVERRIDE=FQ","FILING_STATUS=MR","SCALING_FORMAT=MLN","Sort=A","Dates=H","DateFormat=P","Fill=—","Direction=H","UseDPDF=Y")</f>
        <v>0</v>
      </c>
      <c r="Y76" s="13">
        <f>_xll.BDH("ALNY US Equity","MINORITY_NONCONTROLLING_INTEREST","FQ3 2024","FQ3 2024","Currency=USD","Period=FQ","BEST_FPERIOD_OVERRIDE=FQ","FILING_STATUS=MR","SCALING_FORMAT=MLN","Sort=A","Dates=H","DateFormat=P","Fill=—","Direction=H","UseDPDF=Y")</f>
        <v>0</v>
      </c>
      <c r="Z76" s="13">
        <f>_xll.BDH("ALNY US Equity","MINORITY_NONCONTROLLING_INTEREST","FQ4 2024","FQ4 2024","Currency=USD","Period=FQ","BEST_FPERIOD_OVERRIDE=FQ","FILING_STATUS=MR","SCALING_FORMAT=MLN","Sort=A","Dates=H","DateFormat=P","Fill=—","Direction=H","UseDPDF=Y")</f>
        <v>0</v>
      </c>
    </row>
    <row r="77" spans="1:26" x14ac:dyDescent="0.25">
      <c r="A77" s="6" t="s">
        <v>308</v>
      </c>
      <c r="B77" s="6" t="s">
        <v>309</v>
      </c>
      <c r="C77" s="16">
        <f>_xll.BDH("ALNY US Equity","TOTAL_EQUITY","FQ1 2019","FQ1 2019","Currency=USD","Period=FQ","BEST_FPERIOD_OVERRIDE=FQ","FILING_STATUS=MR","SCALING_FORMAT=MLN","Sort=A","Dates=H","DateFormat=P","Fill=—","Direction=H","UseDPDF=Y")</f>
        <v>1546.9860000000001</v>
      </c>
      <c r="D77" s="16">
        <f>_xll.BDH("ALNY US Equity","TOTAL_EQUITY","FQ2 2019","FQ2 2019","Currency=USD","Period=FQ","BEST_FPERIOD_OVERRIDE=FQ","FILING_STATUS=MR","SCALING_FORMAT=MLN","Sort=A","Dates=H","DateFormat=P","Fill=—","Direction=H","UseDPDF=Y")</f>
        <v>1757.1949999999999</v>
      </c>
      <c r="E77" s="16">
        <f>_xll.BDH("ALNY US Equity","TOTAL_EQUITY","FQ3 2019","FQ3 2019","Currency=USD","Period=FQ","BEST_FPERIOD_OVERRIDE=FQ","FILING_STATUS=MR","SCALING_FORMAT=MLN","Sort=A","Dates=H","DateFormat=P","Fill=—","Direction=H","UseDPDF=Y")</f>
        <v>1607.087</v>
      </c>
      <c r="F77" s="16">
        <f>_xll.BDH("ALNY US Equity","TOTAL_EQUITY","FQ4 2019","FQ4 2019","Currency=USD","Period=FQ","BEST_FPERIOD_OVERRIDE=FQ","FILING_STATUS=MR","SCALING_FORMAT=MLN","Sort=A","Dates=H","DateFormat=P","Fill=—","Direction=H","UseDPDF=Y")</f>
        <v>1438.692</v>
      </c>
      <c r="G77" s="16">
        <f>_xll.BDH("ALNY US Equity","TOTAL_EQUITY","FQ1 2020","FQ1 2020","Currency=USD","Period=FQ","BEST_FPERIOD_OVERRIDE=FQ","FILING_STATUS=MR","SCALING_FORMAT=MLN","Sort=A","Dates=H","DateFormat=P","Fill=—","Direction=H","UseDPDF=Y")</f>
        <v>1349.729</v>
      </c>
      <c r="H77" s="16">
        <f>_xll.BDH("ALNY US Equity","TOTAL_EQUITY","FQ2 2020","FQ2 2020","Currency=USD","Period=FQ","BEST_FPERIOD_OVERRIDE=FQ","FILING_STATUS=MR","SCALING_FORMAT=MLN","Sort=A","Dates=H","DateFormat=P","Fill=—","Direction=H","UseDPDF=Y")</f>
        <v>1399.7260000000001</v>
      </c>
      <c r="I77" s="16">
        <f>_xll.BDH("ALNY US Equity","TOTAL_EQUITY","FQ3 2020","FQ3 2020","Currency=USD","Period=FQ","BEST_FPERIOD_OVERRIDE=FQ","FILING_STATUS=MR","SCALING_FORMAT=MLN","Sort=A","Dates=H","DateFormat=P","Fill=—","Direction=H","UseDPDF=Y")</f>
        <v>1215.0229999999999</v>
      </c>
      <c r="J77" s="16">
        <f>_xll.BDH("ALNY US Equity","TOTAL_EQUITY","FQ4 2020","FQ4 2020","Currency=USD","Period=FQ","BEST_FPERIOD_OVERRIDE=FQ","FILING_STATUS=MR","SCALING_FORMAT=MLN","Sort=A","Dates=H","DateFormat=P","Fill=—","Direction=H","UseDPDF=Y")</f>
        <v>1016.247</v>
      </c>
      <c r="K77" s="16">
        <f>_xll.BDH("ALNY US Equity","TOTAL_EQUITY","FQ1 2021","FQ1 2021","Currency=USD","Period=FQ","BEST_FPERIOD_OVERRIDE=FQ","FILING_STATUS=MR","SCALING_FORMAT=MLN","Sort=A","Dates=H","DateFormat=P","Fill=—","Direction=H","UseDPDF=Y")</f>
        <v>926.19</v>
      </c>
      <c r="L77" s="16">
        <f>_xll.BDH("ALNY US Equity","TOTAL_EQUITY","FQ2 2021","FQ2 2021","Currency=USD","Period=FQ","BEST_FPERIOD_OVERRIDE=FQ","FILING_STATUS=MR","SCALING_FORMAT=MLN","Sort=A","Dates=H","DateFormat=P","Fill=—","Direction=H","UseDPDF=Y")</f>
        <v>853.36199999999997</v>
      </c>
      <c r="M77" s="16">
        <f>_xll.BDH("ALNY US Equity","TOTAL_EQUITY","FQ3 2021","FQ3 2021","Currency=USD","Period=FQ","BEST_FPERIOD_OVERRIDE=FQ","FILING_STATUS=MR","SCALING_FORMAT=MLN","Sort=A","Dates=H","DateFormat=P","Fill=—","Direction=H","UseDPDF=Y")</f>
        <v>755.89300000000003</v>
      </c>
      <c r="N77" s="16">
        <f>_xll.BDH("ALNY US Equity","TOTAL_EQUITY","FQ4 2021","FQ4 2021","Currency=USD","Period=FQ","BEST_FPERIOD_OVERRIDE=FQ","FILING_STATUS=MR","SCALING_FORMAT=MLN","Sort=A","Dates=H","DateFormat=P","Fill=—","Direction=H","UseDPDF=Y")</f>
        <v>588.20299999999997</v>
      </c>
      <c r="O77" s="16">
        <f>_xll.BDH("ALNY US Equity","TOTAL_EQUITY","FQ1 2022","FQ1 2022","Currency=USD","Period=FQ","BEST_FPERIOD_OVERRIDE=FQ","FILING_STATUS=MR","SCALING_FORMAT=MLN","Sort=A","Dates=H","DateFormat=P","Fill=—","Direction=H","UseDPDF=Y")</f>
        <v>401.166</v>
      </c>
      <c r="P77" s="16">
        <f>_xll.BDH("ALNY US Equity","TOTAL_EQUITY","FQ2 2022","FQ2 2022","Currency=USD","Period=FQ","BEST_FPERIOD_OVERRIDE=FQ","FILING_STATUS=MR","SCALING_FORMAT=MLN","Sort=A","Dates=H","DateFormat=P","Fill=—","Direction=H","UseDPDF=Y")</f>
        <v>176.04</v>
      </c>
      <c r="Q77" s="16">
        <f>_xll.BDH("ALNY US Equity","TOTAL_EQUITY","FQ3 2022","FQ3 2022","Currency=USD","Period=FQ","BEST_FPERIOD_OVERRIDE=FQ","FILING_STATUS=MR","SCALING_FORMAT=MLN","Sort=A","Dates=H","DateFormat=P","Fill=—","Direction=H","UseDPDF=Y")</f>
        <v>-67.638000000000005</v>
      </c>
      <c r="R77" s="16">
        <f>_xll.BDH("ALNY US Equity","TOTAL_EQUITY","FQ4 2022","FQ4 2022","Currency=USD","Period=FQ","BEST_FPERIOD_OVERRIDE=FQ","FILING_STATUS=MR","SCALING_FORMAT=MLN","Sort=A","Dates=H","DateFormat=P","Fill=—","Direction=H","UseDPDF=Y")</f>
        <v>-158.22300000000001</v>
      </c>
      <c r="S77" s="16">
        <f>_xll.BDH("ALNY US Equity","TOTAL_EQUITY","FQ1 2023","FQ1 2023","Currency=USD","Period=FQ","BEST_FPERIOD_OVERRIDE=FQ","FILING_STATUS=MR","SCALING_FORMAT=MLN","Sort=A","Dates=H","DateFormat=P","Fill=—","Direction=H","UseDPDF=Y")</f>
        <v>-259.24</v>
      </c>
      <c r="T77" s="16">
        <f>_xll.BDH("ALNY US Equity","TOTAL_EQUITY","FQ2 2023","FQ2 2023","Currency=USD","Period=FQ","BEST_FPERIOD_OVERRIDE=FQ","FILING_STATUS=MR","SCALING_FORMAT=MLN","Sort=A","Dates=H","DateFormat=P","Fill=—","Direction=H","UseDPDF=Y")</f>
        <v>-408.13099999999997</v>
      </c>
      <c r="U77" s="16">
        <f>_xll.BDH("ALNY US Equity","TOTAL_EQUITY","FQ3 2023","FQ3 2023","Currency=USD","Period=FQ","BEST_FPERIOD_OVERRIDE=FQ","FILING_STATUS=MR","SCALING_FORMAT=MLN","Sort=A","Dates=H","DateFormat=P","Fill=—","Direction=H","UseDPDF=Y")</f>
        <v>-165.86600000000001</v>
      </c>
      <c r="V77" s="16">
        <f>_xll.BDH("ALNY US Equity","TOTAL_EQUITY","FQ4 2023","FQ4 2023","Currency=USD","Period=FQ","BEST_FPERIOD_OVERRIDE=FQ","FILING_STATUS=MR","SCALING_FORMAT=MLN","Sort=A","Dates=H","DateFormat=P","Fill=—","Direction=H","UseDPDF=Y")</f>
        <v>-220.64400000000001</v>
      </c>
      <c r="W77" s="16">
        <f>_xll.BDH("ALNY US Equity","TOTAL_EQUITY","FQ1 2024","FQ1 2024","Currency=USD","Period=FQ","BEST_FPERIOD_OVERRIDE=FQ","FILING_STATUS=MR","SCALING_FORMAT=MLN","Sort=A","Dates=H","DateFormat=P","Fill=—","Direction=H","UseDPDF=Y")</f>
        <v>-219.27199999999999</v>
      </c>
      <c r="X77" s="16">
        <f>_xll.BDH("ALNY US Equity","TOTAL_EQUITY","FQ2 2024","FQ2 2024","Currency=USD","Period=FQ","BEST_FPERIOD_OVERRIDE=FQ","FILING_STATUS=MR","SCALING_FORMAT=MLN","Sort=A","Dates=H","DateFormat=P","Fill=—","Direction=H","UseDPDF=Y")</f>
        <v>-3.0670000000000002</v>
      </c>
      <c r="Y77" s="16">
        <f>_xll.BDH("ALNY US Equity","TOTAL_EQUITY","FQ3 2024","FQ3 2024","Currency=USD","Period=FQ","BEST_FPERIOD_OVERRIDE=FQ","FILING_STATUS=MR","SCALING_FORMAT=MLN","Sort=A","Dates=H","DateFormat=P","Fill=—","Direction=H","UseDPDF=Y")</f>
        <v>32.353999999999999</v>
      </c>
      <c r="Z77" s="16">
        <f>_xll.BDH("ALNY US Equity","TOTAL_EQUITY","FQ4 2024","FQ4 2024","Currency=USD","Period=FQ","BEST_FPERIOD_OVERRIDE=FQ","FILING_STATUS=MR","SCALING_FORMAT=MLN","Sort=A","Dates=H","DateFormat=P","Fill=—","Direction=H","UseDPDF=Y")</f>
        <v>67.087999999999994</v>
      </c>
    </row>
    <row r="78" spans="1:26" x14ac:dyDescent="0.25">
      <c r="A78" s="6" t="s">
        <v>310</v>
      </c>
      <c r="B78" s="6" t="s">
        <v>311</v>
      </c>
      <c r="C78" s="16">
        <f>_xll.BDH("ALNY US Equity","TOT_LIAB_AND_EQY","FQ1 2019","FQ1 2019","Currency=USD","Period=FQ","BEST_FPERIOD_OVERRIDE=FQ","FILING_STATUS=MR","SCALING_FORMAT=MLN","Sort=A","Dates=H","DateFormat=P","Fill=—","Direction=H","UseDPDF=Y")</f>
        <v>2013.999</v>
      </c>
      <c r="D78" s="16">
        <f>_xll.BDH("ALNY US Equity","TOT_LIAB_AND_EQY","FQ2 2019","FQ2 2019","Currency=USD","Period=FQ","BEST_FPERIOD_OVERRIDE=FQ","FILING_STATUS=MR","SCALING_FORMAT=MLN","Sort=A","Dates=H","DateFormat=P","Fill=—","Direction=H","UseDPDF=Y")</f>
        <v>2716.4110000000001</v>
      </c>
      <c r="E78" s="16">
        <f>_xll.BDH("ALNY US Equity","TOT_LIAB_AND_EQY","FQ3 2019","FQ3 2019","Currency=USD","Period=FQ","BEST_FPERIOD_OVERRIDE=FQ","FILING_STATUS=MR","SCALING_FORMAT=MLN","Sort=A","Dates=H","DateFormat=P","Fill=—","Direction=H","UseDPDF=Y")</f>
        <v>2541.6219999999998</v>
      </c>
      <c r="F78" s="16">
        <f>_xll.BDH("ALNY US Equity","TOT_LIAB_AND_EQY","FQ4 2019","FQ4 2019","Currency=USD","Period=FQ","BEST_FPERIOD_OVERRIDE=FQ","FILING_STATUS=MR","SCALING_FORMAT=MLN","Sort=A","Dates=H","DateFormat=P","Fill=—","Direction=H","UseDPDF=Y")</f>
        <v>2395.134</v>
      </c>
      <c r="G78" s="16">
        <f>_xll.BDH("ALNY US Equity","TOT_LIAB_AND_EQY","FQ1 2020","FQ1 2020","Currency=USD","Period=FQ","BEST_FPERIOD_OVERRIDE=FQ","FILING_STATUS=MR","SCALING_FORMAT=MLN","Sort=A","Dates=H","DateFormat=P","Fill=—","Direction=H","UseDPDF=Y")</f>
        <v>2279.6239999999998</v>
      </c>
      <c r="H78" s="16">
        <f>_xll.BDH("ALNY US Equity","TOT_LIAB_AND_EQY","FQ2 2020","FQ2 2020","Currency=USD","Period=FQ","BEST_FPERIOD_OVERRIDE=FQ","FILING_STATUS=MR","SCALING_FORMAT=MLN","Sort=A","Dates=H","DateFormat=P","Fill=—","Direction=H","UseDPDF=Y")</f>
        <v>3374.3670000000002</v>
      </c>
      <c r="I78" s="16">
        <f>_xll.BDH("ALNY US Equity","TOT_LIAB_AND_EQY","FQ3 2020","FQ3 2020","Currency=USD","Period=FQ","BEST_FPERIOD_OVERRIDE=FQ","FILING_STATUS=MR","SCALING_FORMAT=MLN","Sort=A","Dates=H","DateFormat=P","Fill=—","Direction=H","UseDPDF=Y")</f>
        <v>3307.2829999999999</v>
      </c>
      <c r="J78" s="16">
        <f>_xll.BDH("ALNY US Equity","TOT_LIAB_AND_EQY","FQ4 2020","FQ4 2020","Currency=USD","Period=FQ","BEST_FPERIOD_OVERRIDE=FQ","FILING_STATUS=MR","SCALING_FORMAT=MLN","Sort=A","Dates=H","DateFormat=P","Fill=—","Direction=H","UseDPDF=Y")</f>
        <v>3407.0610000000001</v>
      </c>
      <c r="K78" s="16">
        <f>_xll.BDH("ALNY US Equity","TOT_LIAB_AND_EQY","FQ1 2021","FQ1 2021","Currency=USD","Period=FQ","BEST_FPERIOD_OVERRIDE=FQ","FILING_STATUS=MR","SCALING_FORMAT=MLN","Sort=A","Dates=H","DateFormat=P","Fill=—","Direction=H","UseDPDF=Y")</f>
        <v>3255.2689999999998</v>
      </c>
      <c r="L78" s="16">
        <f>_xll.BDH("ALNY US Equity","TOT_LIAB_AND_EQY","FQ2 2021","FQ2 2021","Currency=USD","Period=FQ","BEST_FPERIOD_OVERRIDE=FQ","FILING_STATUS=MR","SCALING_FORMAT=MLN","Sort=A","Dates=H","DateFormat=P","Fill=—","Direction=H","UseDPDF=Y")</f>
        <v>3509.4290000000001</v>
      </c>
      <c r="M78" s="16">
        <f>_xll.BDH("ALNY US Equity","TOT_LIAB_AND_EQY","FQ3 2021","FQ3 2021","Currency=USD","Period=FQ","BEST_FPERIOD_OVERRIDE=FQ","FILING_STATUS=MR","SCALING_FORMAT=MLN","Sort=A","Dates=H","DateFormat=P","Fill=—","Direction=H","UseDPDF=Y")</f>
        <v>3472.3130000000001</v>
      </c>
      <c r="N78" s="16">
        <f>_xll.BDH("ALNY US Equity","TOT_LIAB_AND_EQY","FQ4 2021","FQ4 2021","Currency=USD","Period=FQ","BEST_FPERIOD_OVERRIDE=FQ","FILING_STATUS=MR","SCALING_FORMAT=MLN","Sort=A","Dates=H","DateFormat=P","Fill=—","Direction=H","UseDPDF=Y")</f>
        <v>3643.3040000000001</v>
      </c>
      <c r="O78" s="16">
        <f>_xll.BDH("ALNY US Equity","TOT_LIAB_AND_EQY","FQ1 2022","FQ1 2022","Currency=USD","Period=FQ","BEST_FPERIOD_OVERRIDE=FQ","FILING_STATUS=MR","SCALING_FORMAT=MLN","Sort=A","Dates=H","DateFormat=P","Fill=—","Direction=H","UseDPDF=Y")</f>
        <v>3433.5450000000001</v>
      </c>
      <c r="P78" s="16">
        <f>_xll.BDH("ALNY US Equity","TOT_LIAB_AND_EQY","FQ2 2022","FQ2 2022","Currency=USD","Period=FQ","BEST_FPERIOD_OVERRIDE=FQ","FILING_STATUS=MR","SCALING_FORMAT=MLN","Sort=A","Dates=H","DateFormat=P","Fill=—","Direction=H","UseDPDF=Y")</f>
        <v>3330.4169999999999</v>
      </c>
      <c r="Q78" s="16">
        <f>_xll.BDH("ALNY US Equity","TOT_LIAB_AND_EQY","FQ3 2022","FQ3 2022","Currency=USD","Period=FQ","BEST_FPERIOD_OVERRIDE=FQ","FILING_STATUS=MR","SCALING_FORMAT=MLN","Sort=A","Dates=H","DateFormat=P","Fill=—","Direction=H","UseDPDF=Y")</f>
        <v>3535.2550000000001</v>
      </c>
      <c r="R78" s="16">
        <f>_xll.BDH("ALNY US Equity","TOT_LIAB_AND_EQY","FQ4 2022","FQ4 2022","Currency=USD","Period=FQ","BEST_FPERIOD_OVERRIDE=FQ","FILING_STATUS=MR","SCALING_FORMAT=MLN","Sort=A","Dates=H","DateFormat=P","Fill=—","Direction=H","UseDPDF=Y")</f>
        <v>3546.3589999999999</v>
      </c>
      <c r="S78" s="16">
        <f>_xll.BDH("ALNY US Equity","TOT_LIAB_AND_EQY","FQ1 2023","FQ1 2023","Currency=USD","Period=FQ","BEST_FPERIOD_OVERRIDE=FQ","FILING_STATUS=MR","SCALING_FORMAT=MLN","Sort=A","Dates=H","DateFormat=P","Fill=—","Direction=H","UseDPDF=Y")</f>
        <v>3391.94</v>
      </c>
      <c r="T78" s="16">
        <f>_xll.BDH("ALNY US Equity","TOT_LIAB_AND_EQY","FQ2 2023","FQ2 2023","Currency=USD","Period=FQ","BEST_FPERIOD_OVERRIDE=FQ","FILING_STATUS=MR","SCALING_FORMAT=MLN","Sort=A","Dates=H","DateFormat=P","Fill=—","Direction=H","UseDPDF=Y")</f>
        <v>3402.3960000000002</v>
      </c>
      <c r="U78" s="16">
        <f>_xll.BDH("ALNY US Equity","TOT_LIAB_AND_EQY","FQ3 2023","FQ3 2023","Currency=USD","Period=FQ","BEST_FPERIOD_OVERRIDE=FQ","FILING_STATUS=MR","SCALING_FORMAT=MLN","Sort=A","Dates=H","DateFormat=P","Fill=—","Direction=H","UseDPDF=Y")</f>
        <v>3839.0729999999999</v>
      </c>
      <c r="V78" s="16">
        <f>_xll.BDH("ALNY US Equity","TOT_LIAB_AND_EQY","FQ4 2023","FQ4 2023","Currency=USD","Period=FQ","BEST_FPERIOD_OVERRIDE=FQ","FILING_STATUS=MR","SCALING_FORMAT=MLN","Sort=A","Dates=H","DateFormat=P","Fill=—","Direction=H","UseDPDF=Y")</f>
        <v>3829.88</v>
      </c>
      <c r="W78" s="16">
        <f>_xll.BDH("ALNY US Equity","TOT_LIAB_AND_EQY","FQ1 2024","FQ1 2024","Currency=USD","Period=FQ","BEST_FPERIOD_OVERRIDE=FQ","FILING_STATUS=MR","SCALING_FORMAT=MLN","Sort=A","Dates=H","DateFormat=P","Fill=—","Direction=H","UseDPDF=Y")</f>
        <v>3824.386</v>
      </c>
      <c r="X78" s="16">
        <f>_xll.BDH("ALNY US Equity","TOT_LIAB_AND_EQY","FQ2 2024","FQ2 2024","Currency=USD","Period=FQ","BEST_FPERIOD_OVERRIDE=FQ","FILING_STATUS=MR","SCALING_FORMAT=MLN","Sort=A","Dates=H","DateFormat=P","Fill=—","Direction=H","UseDPDF=Y")</f>
        <v>4009.634</v>
      </c>
      <c r="Y78" s="16">
        <f>_xll.BDH("ALNY US Equity","TOT_LIAB_AND_EQY","FQ3 2024","FQ3 2024","Currency=USD","Period=FQ","BEST_FPERIOD_OVERRIDE=FQ","FILING_STATUS=MR","SCALING_FORMAT=MLN","Sort=A","Dates=H","DateFormat=P","Fill=—","Direction=H","UseDPDF=Y")</f>
        <v>4205.0389999999998</v>
      </c>
      <c r="Z78" s="16">
        <f>_xll.BDH("ALNY US Equity","TOT_LIAB_AND_EQY","FQ4 2024","FQ4 2024","Currency=USD","Period=FQ","BEST_FPERIOD_OVERRIDE=FQ","FILING_STATUS=MR","SCALING_FORMAT=MLN","Sort=A","Dates=H","DateFormat=P","Fill=—","Direction=H","UseDPDF=Y")</f>
        <v>4239.9830000000002</v>
      </c>
    </row>
    <row r="79" spans="1:26" x14ac:dyDescent="0.25">
      <c r="A79" s="6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6" t="s">
        <v>2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0" t="s">
        <v>148</v>
      </c>
      <c r="B81" s="10" t="s">
        <v>149</v>
      </c>
      <c r="C81" s="12" t="s">
        <v>150</v>
      </c>
      <c r="D81" s="12" t="s">
        <v>150</v>
      </c>
      <c r="E81" s="12" t="s">
        <v>150</v>
      </c>
      <c r="F81" s="12" t="s">
        <v>150</v>
      </c>
      <c r="G81" s="12" t="s">
        <v>150</v>
      </c>
      <c r="H81" s="12" t="s">
        <v>150</v>
      </c>
      <c r="I81" s="12" t="s">
        <v>150</v>
      </c>
      <c r="J81" s="12" t="s">
        <v>150</v>
      </c>
      <c r="K81" s="12" t="s">
        <v>150</v>
      </c>
      <c r="L81" s="12" t="s">
        <v>150</v>
      </c>
      <c r="M81" s="12" t="s">
        <v>150</v>
      </c>
      <c r="N81" s="12" t="s">
        <v>150</v>
      </c>
      <c r="O81" s="12" t="s">
        <v>150</v>
      </c>
      <c r="P81" s="12" t="s">
        <v>150</v>
      </c>
      <c r="Q81" s="12" t="s">
        <v>150</v>
      </c>
      <c r="R81" s="12" t="s">
        <v>150</v>
      </c>
      <c r="S81" s="12" t="s">
        <v>150</v>
      </c>
      <c r="T81" s="12" t="s">
        <v>150</v>
      </c>
      <c r="U81" s="12" t="s">
        <v>150</v>
      </c>
      <c r="V81" s="12" t="s">
        <v>150</v>
      </c>
      <c r="W81" s="12" t="s">
        <v>150</v>
      </c>
      <c r="X81" s="12" t="s">
        <v>150</v>
      </c>
      <c r="Y81" s="12" t="s">
        <v>150</v>
      </c>
      <c r="Z81" s="12" t="s">
        <v>150</v>
      </c>
    </row>
    <row r="82" spans="1:26" x14ac:dyDescent="0.25">
      <c r="A82" s="10" t="s">
        <v>312</v>
      </c>
      <c r="B82" s="10" t="s">
        <v>313</v>
      </c>
      <c r="C82" s="13">
        <f>_xll.BDH("ALNY US Equity","BS_SH_OUT","FQ1 2019","FQ1 2019","Currency=USD","Period=FQ","BEST_FPERIOD_OVERRIDE=FQ","FILING_STATUS=MR","Sort=A","Dates=H","DateFormat=P","Fill=—","Direction=H","UseDPDF=Y")</f>
        <v>106.4</v>
      </c>
      <c r="D82" s="13">
        <f>_xll.BDH("ALNY US Equity","BS_SH_OUT","FQ2 2019","FQ2 2019","Currency=USD","Period=FQ","BEST_FPERIOD_OVERRIDE=FQ","FILING_STATUS=MR","Sort=A","Dates=H","DateFormat=P","Fill=—","Direction=H","UseDPDF=Y")</f>
        <v>111.114</v>
      </c>
      <c r="E82" s="13">
        <f>_xll.BDH("ALNY US Equity","BS_SH_OUT","FQ3 2019","FQ3 2019","Currency=USD","Period=FQ","BEST_FPERIOD_OVERRIDE=FQ","FILING_STATUS=MR","Sort=A","Dates=H","DateFormat=P","Fill=—","Direction=H","UseDPDF=Y")</f>
        <v>111.325</v>
      </c>
      <c r="F82" s="13">
        <f>_xll.BDH("ALNY US Equity","BS_SH_OUT","FQ4 2019","FQ4 2019","Currency=USD","Period=FQ","BEST_FPERIOD_OVERRIDE=FQ","FILING_STATUS=MR","Sort=A","Dates=H","DateFormat=P","Fill=—","Direction=H","UseDPDF=Y")</f>
        <v>112.188</v>
      </c>
      <c r="G82" s="13">
        <f>_xll.BDH("ALNY US Equity","BS_SH_OUT","FQ1 2020","FQ1 2020","Currency=USD","Period=FQ","BEST_FPERIOD_OVERRIDE=FQ","FILING_STATUS=MR","Sort=A","Dates=H","DateFormat=P","Fill=—","Direction=H","UseDPDF=Y")</f>
        <v>113.16800000000001</v>
      </c>
      <c r="H82" s="13">
        <f>_xll.BDH("ALNY US Equity","BS_SH_OUT","FQ2 2020","FQ2 2020","Currency=USD","Period=FQ","BEST_FPERIOD_OVERRIDE=FQ","FILING_STATUS=MR","Sort=A","Dates=H","DateFormat=P","Fill=—","Direction=H","UseDPDF=Y")</f>
        <v>115.64700000000001</v>
      </c>
      <c r="I82" s="13">
        <f>_xll.BDH("ALNY US Equity","BS_SH_OUT","FQ3 2020","FQ3 2020","Currency=USD","Period=FQ","BEST_FPERIOD_OVERRIDE=FQ","FILING_STATUS=MR","Sort=A","Dates=H","DateFormat=P","Fill=—","Direction=H","UseDPDF=Y")</f>
        <v>116.143</v>
      </c>
      <c r="J82" s="13">
        <f>_xll.BDH("ALNY US Equity","BS_SH_OUT","FQ4 2020","FQ4 2020","Currency=USD","Period=FQ","BEST_FPERIOD_OVERRIDE=FQ","FILING_STATUS=MR","Sort=A","Dates=H","DateFormat=P","Fill=—","Direction=H","UseDPDF=Y")</f>
        <v>116.42700000000001</v>
      </c>
      <c r="K82" s="13">
        <f>_xll.BDH("ALNY US Equity","BS_SH_OUT","FQ1 2021","FQ1 2021","Currency=USD","Period=FQ","BEST_FPERIOD_OVERRIDE=FQ","FILING_STATUS=MR","Sort=A","Dates=H","DateFormat=P","Fill=—","Direction=H","UseDPDF=Y")</f>
        <v>117.321</v>
      </c>
      <c r="L82" s="13">
        <f>_xll.BDH("ALNY US Equity","BS_SH_OUT","FQ2 2021","FQ2 2021","Currency=USD","Period=FQ","BEST_FPERIOD_OVERRIDE=FQ","FILING_STATUS=MR","Sort=A","Dates=H","DateFormat=P","Fill=—","Direction=H","UseDPDF=Y")</f>
        <v>118.596</v>
      </c>
      <c r="M82" s="13">
        <f>_xll.BDH("ALNY US Equity","BS_SH_OUT","FQ3 2021","FQ3 2021","Currency=USD","Period=FQ","BEST_FPERIOD_OVERRIDE=FQ","FILING_STATUS=MR","Sort=A","Dates=H","DateFormat=P","Fill=—","Direction=H","UseDPDF=Y")</f>
        <v>119.48</v>
      </c>
      <c r="N82" s="13">
        <f>_xll.BDH("ALNY US Equity","BS_SH_OUT","FQ4 2021","FQ4 2021","Currency=USD","Period=FQ","BEST_FPERIOD_OVERRIDE=FQ","FILING_STATUS=MR","Sort=A","Dates=H","DateFormat=P","Fill=—","Direction=H","UseDPDF=Y")</f>
        <v>120.182</v>
      </c>
      <c r="O82" s="13">
        <f>_xll.BDH("ALNY US Equity","BS_SH_OUT","FQ1 2022","FQ1 2022","Currency=USD","Period=FQ","BEST_FPERIOD_OVERRIDE=FQ","FILING_STATUS=MR","Sort=A","Dates=H","DateFormat=P","Fill=—","Direction=H","UseDPDF=Y")</f>
        <v>120.729</v>
      </c>
      <c r="P82" s="13">
        <f>_xll.BDH("ALNY US Equity","BS_SH_OUT","FQ2 2022","FQ2 2022","Currency=USD","Period=FQ","BEST_FPERIOD_OVERRIDE=FQ","FILING_STATUS=MR","Sort=A","Dates=H","DateFormat=P","Fill=—","Direction=H","UseDPDF=Y")</f>
        <v>120.992</v>
      </c>
      <c r="Q82" s="13">
        <f>_xll.BDH("ALNY US Equity","BS_SH_OUT","FQ3 2022","FQ3 2022","Currency=USD","Period=FQ","BEST_FPERIOD_OVERRIDE=FQ","FILING_STATUS=MR","Sort=A","Dates=H","DateFormat=P","Fill=—","Direction=H","UseDPDF=Y")</f>
        <v>122.991</v>
      </c>
      <c r="R82" s="13">
        <f>_xll.BDH("ALNY US Equity","BS_SH_OUT","FQ4 2022","FQ4 2022","Currency=USD","Period=FQ","BEST_FPERIOD_OVERRIDE=FQ","FILING_STATUS=MR","Sort=A","Dates=H","DateFormat=P","Fill=—","Direction=H","UseDPDF=Y")</f>
        <v>123.925</v>
      </c>
      <c r="S82" s="13">
        <f>_xll.BDH("ALNY US Equity","BS_SH_OUT","FQ1 2023","FQ1 2023","Currency=USD","Period=FQ","BEST_FPERIOD_OVERRIDE=FQ","FILING_STATUS=MR","Sort=A","Dates=H","DateFormat=P","Fill=—","Direction=H","UseDPDF=Y")</f>
        <v>124.241</v>
      </c>
      <c r="T82" s="13">
        <f>_xll.BDH("ALNY US Equity","BS_SH_OUT","FQ2 2023","FQ2 2023","Currency=USD","Period=FQ","BEST_FPERIOD_OVERRIDE=FQ","FILING_STATUS=MR","Sort=A","Dates=H","DateFormat=P","Fill=—","Direction=H","UseDPDF=Y")</f>
        <v>124.241</v>
      </c>
      <c r="U82" s="13">
        <f>_xll.BDH("ALNY US Equity","BS_SH_OUT","FQ3 2023","FQ3 2023","Currency=USD","Period=FQ","BEST_FPERIOD_OVERRIDE=FQ","FILING_STATUS=MR","Sort=A","Dates=H","DateFormat=P","Fill=—","Direction=H","UseDPDF=Y")</f>
        <v>125.45399999999999</v>
      </c>
      <c r="V82" s="13">
        <f>_xll.BDH("ALNY US Equity","BS_SH_OUT","FQ4 2023","FQ4 2023","Currency=USD","Period=FQ","BEST_FPERIOD_OVERRIDE=FQ","FILING_STATUS=MR","Sort=A","Dates=H","DateFormat=P","Fill=—","Direction=H","UseDPDF=Y")</f>
        <v>125.794</v>
      </c>
      <c r="W82" s="13">
        <f>_xll.BDH("ALNY US Equity","BS_SH_OUT","FQ1 2024","FQ1 2024","Currency=USD","Period=FQ","BEST_FPERIOD_OVERRIDE=FQ","FILING_STATUS=MR","Sort=A","Dates=H","DateFormat=P","Fill=—","Direction=H","UseDPDF=Y")</f>
        <v>126.46299999999999</v>
      </c>
      <c r="X82" s="13">
        <f>_xll.BDH("ALNY US Equity","BS_SH_OUT","FQ2 2024","FQ2 2024","Currency=USD","Period=FQ","BEST_FPERIOD_OVERRIDE=FQ","FILING_STATUS=MR","Sort=A","Dates=H","DateFormat=P","Fill=—","Direction=H","UseDPDF=Y")</f>
        <v>128.02099999999999</v>
      </c>
      <c r="Y82" s="13">
        <f>_xll.BDH("ALNY US Equity","BS_SH_OUT","FQ3 2024","FQ3 2024","Currency=USD","Period=FQ","BEST_FPERIOD_OVERRIDE=FQ","FILING_STATUS=MR","Sort=A","Dates=H","DateFormat=P","Fill=—","Direction=H","UseDPDF=Y")</f>
        <v>128.84100000000001</v>
      </c>
      <c r="Z82" s="13">
        <f>_xll.BDH("ALNY US Equity","BS_SH_OUT","FQ4 2024","FQ4 2024","Currency=USD","Period=FQ","BEST_FPERIOD_OVERRIDE=FQ","FILING_STATUS=MR","Sort=A","Dates=H","DateFormat=P","Fill=—","Direction=H","UseDPDF=Y")</f>
        <v>129.29400000000001</v>
      </c>
    </row>
    <row r="83" spans="1:26" x14ac:dyDescent="0.25">
      <c r="A83" s="10" t="s">
        <v>314</v>
      </c>
      <c r="B83" s="10" t="s">
        <v>315</v>
      </c>
      <c r="C83" s="13">
        <f>_xll.BDH("ALNY US Equity","BS_NUM_OF_TSY_SH","FQ1 2019","FQ1 2019","Currency=USD","Period=FQ","BEST_FPERIOD_OVERRIDE=FQ","FILING_STATUS=MR","Sort=A","Dates=H","DateFormat=P","Fill=—","Direction=H","UseDPDF=Y")</f>
        <v>0</v>
      </c>
      <c r="D83" s="13">
        <f>_xll.BDH("ALNY US Equity","BS_NUM_OF_TSY_SH","FQ2 2019","FQ2 2019","Currency=USD","Period=FQ","BEST_FPERIOD_OVERRIDE=FQ","FILING_STATUS=MR","Sort=A","Dates=H","DateFormat=P","Fill=—","Direction=H","UseDPDF=Y")</f>
        <v>0</v>
      </c>
      <c r="E83" s="13">
        <f>_xll.BDH("ALNY US Equity","BS_NUM_OF_TSY_SH","FQ3 2019","FQ3 2019","Currency=USD","Period=FQ","BEST_FPERIOD_OVERRIDE=FQ","FILING_STATUS=MR","Sort=A","Dates=H","DateFormat=P","Fill=—","Direction=H","UseDPDF=Y")</f>
        <v>0</v>
      </c>
      <c r="F83" s="13">
        <f>_xll.BDH("ALNY US Equity","BS_NUM_OF_TSY_SH","FQ4 2019","FQ4 2019","Currency=USD","Period=FQ","BEST_FPERIOD_OVERRIDE=FQ","FILING_STATUS=MR","Sort=A","Dates=H","DateFormat=P","Fill=—","Direction=H","UseDPDF=Y")</f>
        <v>0</v>
      </c>
      <c r="G83" s="13">
        <f>_xll.BDH("ALNY US Equity","BS_NUM_OF_TSY_SH","FQ1 2020","FQ1 2020","Currency=USD","Period=FQ","BEST_FPERIOD_OVERRIDE=FQ","FILING_STATUS=MR","Sort=A","Dates=H","DateFormat=P","Fill=—","Direction=H","UseDPDF=Y")</f>
        <v>0</v>
      </c>
      <c r="H83" s="13">
        <f>_xll.BDH("ALNY US Equity","BS_NUM_OF_TSY_SH","FQ2 2020","FQ2 2020","Currency=USD","Period=FQ","BEST_FPERIOD_OVERRIDE=FQ","FILING_STATUS=MR","Sort=A","Dates=H","DateFormat=P","Fill=—","Direction=H","UseDPDF=Y")</f>
        <v>0</v>
      </c>
      <c r="I83" s="13">
        <f>_xll.BDH("ALNY US Equity","BS_NUM_OF_TSY_SH","FQ3 2020","FQ3 2020","Currency=USD","Period=FQ","BEST_FPERIOD_OVERRIDE=FQ","FILING_STATUS=MR","Sort=A","Dates=H","DateFormat=P","Fill=—","Direction=H","UseDPDF=Y")</f>
        <v>0</v>
      </c>
      <c r="J83" s="13">
        <f>_xll.BDH("ALNY US Equity","BS_NUM_OF_TSY_SH","FQ4 2020","FQ4 2020","Currency=USD","Period=FQ","BEST_FPERIOD_OVERRIDE=FQ","FILING_STATUS=MR","Sort=A","Dates=H","DateFormat=P","Fill=—","Direction=H","UseDPDF=Y")</f>
        <v>0</v>
      </c>
      <c r="K83" s="13">
        <f>_xll.BDH("ALNY US Equity","BS_NUM_OF_TSY_SH","FQ1 2021","FQ1 2021","Currency=USD","Period=FQ","BEST_FPERIOD_OVERRIDE=FQ","FILING_STATUS=MR","Sort=A","Dates=H","DateFormat=P","Fill=—","Direction=H","UseDPDF=Y")</f>
        <v>0</v>
      </c>
      <c r="L83" s="13">
        <f>_xll.BDH("ALNY US Equity","BS_NUM_OF_TSY_SH","FQ2 2021","FQ2 2021","Currency=USD","Period=FQ","BEST_FPERIOD_OVERRIDE=FQ","FILING_STATUS=MR","Sort=A","Dates=H","DateFormat=P","Fill=—","Direction=H","UseDPDF=Y")</f>
        <v>0</v>
      </c>
      <c r="M83" s="13">
        <f>_xll.BDH("ALNY US Equity","BS_NUM_OF_TSY_SH","FQ3 2021","FQ3 2021","Currency=USD","Period=FQ","BEST_FPERIOD_OVERRIDE=FQ","FILING_STATUS=MR","Sort=A","Dates=H","DateFormat=P","Fill=—","Direction=H","UseDPDF=Y")</f>
        <v>0</v>
      </c>
      <c r="N83" s="13">
        <f>_xll.BDH("ALNY US Equity","BS_NUM_OF_TSY_SH","FQ4 2021","FQ4 2021","Currency=USD","Period=FQ","BEST_FPERIOD_OVERRIDE=FQ","FILING_STATUS=MR","Sort=A","Dates=H","DateFormat=P","Fill=—","Direction=H","UseDPDF=Y")</f>
        <v>0</v>
      </c>
      <c r="O83" s="13">
        <f>_xll.BDH("ALNY US Equity","BS_NUM_OF_TSY_SH","FQ1 2022","FQ1 2022","Currency=USD","Period=FQ","BEST_FPERIOD_OVERRIDE=FQ","FILING_STATUS=MR","Sort=A","Dates=H","DateFormat=P","Fill=—","Direction=H","UseDPDF=Y")</f>
        <v>0</v>
      </c>
      <c r="P83" s="13">
        <f>_xll.BDH("ALNY US Equity","BS_NUM_OF_TSY_SH","FQ2 2022","FQ2 2022","Currency=USD","Period=FQ","BEST_FPERIOD_OVERRIDE=FQ","FILING_STATUS=MR","Sort=A","Dates=H","DateFormat=P","Fill=—","Direction=H","UseDPDF=Y")</f>
        <v>0</v>
      </c>
      <c r="Q83" s="13">
        <f>_xll.BDH("ALNY US Equity","BS_NUM_OF_TSY_SH","FQ3 2022","FQ3 2022","Currency=USD","Period=FQ","BEST_FPERIOD_OVERRIDE=FQ","FILING_STATUS=MR","Sort=A","Dates=H","DateFormat=P","Fill=—","Direction=H","UseDPDF=Y")</f>
        <v>0</v>
      </c>
      <c r="R83" s="13">
        <f>_xll.BDH("ALNY US Equity","BS_NUM_OF_TSY_SH","FQ4 2022","FQ4 2022","Currency=USD","Period=FQ","BEST_FPERIOD_OVERRIDE=FQ","FILING_STATUS=MR","Sort=A","Dates=H","DateFormat=P","Fill=—","Direction=H","UseDPDF=Y")</f>
        <v>0</v>
      </c>
      <c r="S83" s="13">
        <f>_xll.BDH("ALNY US Equity","BS_NUM_OF_TSY_SH","FQ1 2023","FQ1 2023","Currency=USD","Period=FQ","BEST_FPERIOD_OVERRIDE=FQ","FILING_STATUS=MR","Sort=A","Dates=H","DateFormat=P","Fill=—","Direction=H","UseDPDF=Y")</f>
        <v>0</v>
      </c>
      <c r="T83" s="13">
        <f>_xll.BDH("ALNY US Equity","BS_NUM_OF_TSY_SH","FQ2 2023","FQ2 2023","Currency=USD","Period=FQ","BEST_FPERIOD_OVERRIDE=FQ","FILING_STATUS=MR","Sort=A","Dates=H","DateFormat=P","Fill=—","Direction=H","UseDPDF=Y")</f>
        <v>0</v>
      </c>
      <c r="U83" s="13">
        <f>_xll.BDH("ALNY US Equity","BS_NUM_OF_TSY_SH","FQ3 2023","FQ3 2023","Currency=USD","Period=FQ","BEST_FPERIOD_OVERRIDE=FQ","FILING_STATUS=MR","Sort=A","Dates=H","DateFormat=P","Fill=—","Direction=H","UseDPDF=Y")</f>
        <v>0</v>
      </c>
      <c r="V83" s="13">
        <f>_xll.BDH("ALNY US Equity","BS_NUM_OF_TSY_SH","FQ4 2023","FQ4 2023","Currency=USD","Period=FQ","BEST_FPERIOD_OVERRIDE=FQ","FILING_STATUS=MR","Sort=A","Dates=H","DateFormat=P","Fill=—","Direction=H","UseDPDF=Y")</f>
        <v>0</v>
      </c>
      <c r="W83" s="13">
        <f>_xll.BDH("ALNY US Equity","BS_NUM_OF_TSY_SH","FQ1 2024","FQ1 2024","Currency=USD","Period=FQ","BEST_FPERIOD_OVERRIDE=FQ","FILING_STATUS=MR","Sort=A","Dates=H","DateFormat=P","Fill=—","Direction=H","UseDPDF=Y")</f>
        <v>0</v>
      </c>
      <c r="X83" s="13">
        <f>_xll.BDH("ALNY US Equity","BS_NUM_OF_TSY_SH","FQ2 2024","FQ2 2024","Currency=USD","Period=FQ","BEST_FPERIOD_OVERRIDE=FQ","FILING_STATUS=MR","Sort=A","Dates=H","DateFormat=P","Fill=—","Direction=H","UseDPDF=Y")</f>
        <v>0</v>
      </c>
      <c r="Y83" s="13">
        <f>_xll.BDH("ALNY US Equity","BS_NUM_OF_TSY_SH","FQ3 2024","FQ3 2024","Currency=USD","Period=FQ","BEST_FPERIOD_OVERRIDE=FQ","FILING_STATUS=MR","Sort=A","Dates=H","DateFormat=P","Fill=—","Direction=H","UseDPDF=Y")</f>
        <v>0</v>
      </c>
      <c r="Z83" s="13">
        <f>_xll.BDH("ALNY US Equity","BS_NUM_OF_TSY_SH","FQ4 2024","FQ4 2024","Currency=USD","Period=FQ","BEST_FPERIOD_OVERRIDE=FQ","FILING_STATUS=MR","Sort=A","Dates=H","DateFormat=P","Fill=—","Direction=H","UseDPDF=Y")</f>
        <v>0</v>
      </c>
    </row>
    <row r="84" spans="1:26" x14ac:dyDescent="0.25">
      <c r="A84" s="10" t="s">
        <v>316</v>
      </c>
      <c r="B84" s="10" t="s">
        <v>317</v>
      </c>
      <c r="C84" s="13">
        <f>_xll.BDH("ALNY US Equity","BS_PENSION_RSRV","FQ1 2019","FQ1 2019","Currency=USD","Period=FQ","BEST_FPERIOD_OVERRIDE=FQ","FILING_STATUS=MR","SCALING_FORMAT=MLN","Sort=A","Dates=H","DateFormat=P","Fill=—","Direction=H","UseDPDF=Y")</f>
        <v>0</v>
      </c>
      <c r="D84" s="13">
        <f>_xll.BDH("ALNY US Equity","BS_PENSION_RSRV","FQ2 2019","FQ2 2019","Currency=USD","Period=FQ","BEST_FPERIOD_OVERRIDE=FQ","FILING_STATUS=MR","SCALING_FORMAT=MLN","Sort=A","Dates=H","DateFormat=P","Fill=—","Direction=H","UseDPDF=Y")</f>
        <v>0</v>
      </c>
      <c r="E84" s="13">
        <f>_xll.BDH("ALNY US Equity","BS_PENSION_RSRV","FQ3 2019","FQ3 2019","Currency=USD","Period=FQ","BEST_FPERIOD_OVERRIDE=FQ","FILING_STATUS=MR","SCALING_FORMAT=MLN","Sort=A","Dates=H","DateFormat=P","Fill=—","Direction=H","UseDPDF=Y")</f>
        <v>0</v>
      </c>
      <c r="F84" s="13">
        <f>_xll.BDH("ALNY US Equity","BS_PENSION_RSRV","FQ4 2019","FQ4 2019","Currency=USD","Period=FQ","BEST_FPERIOD_OVERRIDE=FQ","FILING_STATUS=MR","SCALING_FORMAT=MLN","Sort=A","Dates=H","DateFormat=P","Fill=—","Direction=H","UseDPDF=Y")</f>
        <v>0</v>
      </c>
      <c r="G84" s="13">
        <f>_xll.BDH("ALNY US Equity","BS_PENSION_RSRV","FQ1 2020","FQ1 2020","Currency=USD","Period=FQ","BEST_FPERIOD_OVERRIDE=FQ","FILING_STATUS=MR","SCALING_FORMAT=MLN","Sort=A","Dates=H","DateFormat=P","Fill=—","Direction=H","UseDPDF=Y")</f>
        <v>0</v>
      </c>
      <c r="H84" s="13">
        <f>_xll.BDH("ALNY US Equity","BS_PENSION_RSRV","FQ2 2020","FQ2 2020","Currency=USD","Period=FQ","BEST_FPERIOD_OVERRIDE=FQ","FILING_STATUS=MR","SCALING_FORMAT=MLN","Sort=A","Dates=H","DateFormat=P","Fill=—","Direction=H","UseDPDF=Y")</f>
        <v>0</v>
      </c>
      <c r="I84" s="13">
        <f>_xll.BDH("ALNY US Equity","BS_PENSION_RSRV","FQ3 2020","FQ3 2020","Currency=USD","Period=FQ","BEST_FPERIOD_OVERRIDE=FQ","FILING_STATUS=MR","SCALING_FORMAT=MLN","Sort=A","Dates=H","DateFormat=P","Fill=—","Direction=H","UseDPDF=Y")</f>
        <v>0</v>
      </c>
      <c r="J84" s="13">
        <f>_xll.BDH("ALNY US Equity","BS_PENSION_RSRV","FQ4 2020","FQ4 2020","Currency=USD","Period=FQ","BEST_FPERIOD_OVERRIDE=FQ","FILING_STATUS=MR","SCALING_FORMAT=MLN","Sort=A","Dates=H","DateFormat=P","Fill=—","Direction=H","UseDPDF=Y")</f>
        <v>0</v>
      </c>
      <c r="K84" s="13">
        <f>_xll.BDH("ALNY US Equity","BS_PENSION_RSRV","FQ1 2021","FQ1 2021","Currency=USD","Period=FQ","BEST_FPERIOD_OVERRIDE=FQ","FILING_STATUS=MR","SCALING_FORMAT=MLN","Sort=A","Dates=H","DateFormat=P","Fill=—","Direction=H","UseDPDF=Y")</f>
        <v>0</v>
      </c>
      <c r="L84" s="13">
        <f>_xll.BDH("ALNY US Equity","BS_PENSION_RSRV","FQ2 2021","FQ2 2021","Currency=USD","Period=FQ","BEST_FPERIOD_OVERRIDE=FQ","FILING_STATUS=MR","SCALING_FORMAT=MLN","Sort=A","Dates=H","DateFormat=P","Fill=—","Direction=H","UseDPDF=Y")</f>
        <v>0</v>
      </c>
      <c r="M84" s="13">
        <f>_xll.BDH("ALNY US Equity","BS_PENSION_RSRV","FQ3 2021","FQ3 2021","Currency=USD","Period=FQ","BEST_FPERIOD_OVERRIDE=FQ","FILING_STATUS=MR","SCALING_FORMAT=MLN","Sort=A","Dates=H","DateFormat=P","Fill=—","Direction=H","UseDPDF=Y")</f>
        <v>0</v>
      </c>
      <c r="N84" s="13">
        <f>_xll.BDH("ALNY US Equity","BS_PENSION_RSRV","FQ4 2021","FQ4 2021","Currency=USD","Period=FQ","BEST_FPERIOD_OVERRIDE=FQ","FILING_STATUS=MR","SCALING_FORMAT=MLN","Sort=A","Dates=H","DateFormat=P","Fill=—","Direction=H","UseDPDF=Y")</f>
        <v>0</v>
      </c>
      <c r="O84" s="13">
        <f>_xll.BDH("ALNY US Equity","BS_PENSION_RSRV","FQ1 2022","FQ1 2022","Currency=USD","Period=FQ","BEST_FPERIOD_OVERRIDE=FQ","FILING_STATUS=MR","SCALING_FORMAT=MLN","Sort=A","Dates=H","DateFormat=P","Fill=—","Direction=H","UseDPDF=Y")</f>
        <v>0</v>
      </c>
      <c r="P84" s="13">
        <f>_xll.BDH("ALNY US Equity","BS_PENSION_RSRV","FQ2 2022","FQ2 2022","Currency=USD","Period=FQ","BEST_FPERIOD_OVERRIDE=FQ","FILING_STATUS=MR","SCALING_FORMAT=MLN","Sort=A","Dates=H","DateFormat=P","Fill=—","Direction=H","UseDPDF=Y")</f>
        <v>0</v>
      </c>
      <c r="Q84" s="13">
        <f>_xll.BDH("ALNY US Equity","BS_PENSION_RSRV","FQ3 2022","FQ3 2022","Currency=USD","Period=FQ","BEST_FPERIOD_OVERRIDE=FQ","FILING_STATUS=MR","SCALING_FORMAT=MLN","Sort=A","Dates=H","DateFormat=P","Fill=—","Direction=H","UseDPDF=Y")</f>
        <v>0</v>
      </c>
      <c r="R84" s="13">
        <f>_xll.BDH("ALNY US Equity","BS_PENSION_RSRV","FQ4 2022","FQ4 2022","Currency=USD","Period=FQ","BEST_FPERIOD_OVERRIDE=FQ","FILING_STATUS=MR","SCALING_FORMAT=MLN","Sort=A","Dates=H","DateFormat=P","Fill=—","Direction=H","UseDPDF=Y")</f>
        <v>0</v>
      </c>
      <c r="S84" s="13">
        <f>_xll.BDH("ALNY US Equity","BS_PENSION_RSRV","FQ1 2023","FQ1 2023","Currency=USD","Period=FQ","BEST_FPERIOD_OVERRIDE=FQ","FILING_STATUS=MR","SCALING_FORMAT=MLN","Sort=A","Dates=H","DateFormat=P","Fill=—","Direction=H","UseDPDF=Y")</f>
        <v>0</v>
      </c>
      <c r="T84" s="13">
        <f>_xll.BDH("ALNY US Equity","BS_PENSION_RSRV","FQ2 2023","FQ2 2023","Currency=USD","Period=FQ","BEST_FPERIOD_OVERRIDE=FQ","FILING_STATUS=MR","SCALING_FORMAT=MLN","Sort=A","Dates=H","DateFormat=P","Fill=—","Direction=H","UseDPDF=Y")</f>
        <v>0</v>
      </c>
      <c r="U84" s="13">
        <f>_xll.BDH("ALNY US Equity","BS_PENSION_RSRV","FQ3 2023","FQ3 2023","Currency=USD","Period=FQ","BEST_FPERIOD_OVERRIDE=FQ","FILING_STATUS=MR","SCALING_FORMAT=MLN","Sort=A","Dates=H","DateFormat=P","Fill=—","Direction=H","UseDPDF=Y")</f>
        <v>0</v>
      </c>
      <c r="V84" s="13">
        <f>_xll.BDH("ALNY US Equity","BS_PENSION_RSRV","FQ4 2023","FQ4 2023","Currency=USD","Period=FQ","BEST_FPERIOD_OVERRIDE=FQ","FILING_STATUS=MR","SCALING_FORMAT=MLN","Sort=A","Dates=H","DateFormat=P","Fill=—","Direction=H","UseDPDF=Y")</f>
        <v>0</v>
      </c>
      <c r="W84" s="13">
        <f>_xll.BDH("ALNY US Equity","BS_PENSION_RSRV","FQ1 2024","FQ1 2024","Currency=USD","Period=FQ","BEST_FPERIOD_OVERRIDE=FQ","FILING_STATUS=MR","SCALING_FORMAT=MLN","Sort=A","Dates=H","DateFormat=P","Fill=—","Direction=H","UseDPDF=Y")</f>
        <v>0</v>
      </c>
      <c r="X84" s="13">
        <f>_xll.BDH("ALNY US Equity","BS_PENSION_RSRV","FQ2 2024","FQ2 2024","Currency=USD","Period=FQ","BEST_FPERIOD_OVERRIDE=FQ","FILING_STATUS=MR","SCALING_FORMAT=MLN","Sort=A","Dates=H","DateFormat=P","Fill=—","Direction=H","UseDPDF=Y")</f>
        <v>0</v>
      </c>
      <c r="Y84" s="13">
        <f>_xll.BDH("ALNY US Equity","BS_PENSION_RSRV","FQ3 2024","FQ3 2024","Currency=USD","Period=FQ","BEST_FPERIOD_OVERRIDE=FQ","FILING_STATUS=MR","SCALING_FORMAT=MLN","Sort=A","Dates=H","DateFormat=P","Fill=—","Direction=H","UseDPDF=Y")</f>
        <v>0</v>
      </c>
      <c r="Z84" s="13">
        <f>_xll.BDH("ALNY US Equity","BS_PENSION_RSRV","FQ4 2024","FQ4 2024","Currency=USD","Period=FQ","BEST_FPERIOD_OVERRIDE=FQ","FILING_STATUS=MR","SCALING_FORMAT=MLN","Sort=A","Dates=H","DateFormat=P","Fill=—","Direction=H","UseDPDF=Y")</f>
        <v>0</v>
      </c>
    </row>
    <row r="85" spans="1:26" x14ac:dyDescent="0.25">
      <c r="A85" s="10" t="s">
        <v>318</v>
      </c>
      <c r="B85" s="10" t="s">
        <v>319</v>
      </c>
      <c r="C85" s="13">
        <f>_xll.BDH("ALNY US Equity","BS_FUTURE_MIN_OPER_LEASE_OBLIG","FQ1 2019","FQ1 2019","Currency=USD","Period=FQ","BEST_FPERIOD_OVERRIDE=FQ","FILING_STATUS=MR","SCALING_FORMAT=MLN","Sort=A","Dates=H","DateFormat=P","Fill=—","Direction=H","UseDPDF=Y")</f>
        <v>543.77099999999996</v>
      </c>
      <c r="D85" s="13">
        <f>_xll.BDH("ALNY US Equity","BS_FUTURE_MIN_OPER_LEASE_OBLIG","FQ2 2019","FQ2 2019","Currency=USD","Period=FQ","BEST_FPERIOD_OVERRIDE=FQ","FILING_STATUS=MR","SCALING_FORMAT=MLN","Sort=A","Dates=H","DateFormat=P","Fill=—","Direction=H","UseDPDF=Y")</f>
        <v>544.45299999999997</v>
      </c>
      <c r="E85" s="13">
        <f>_xll.BDH("ALNY US Equity","BS_FUTURE_MIN_OPER_LEASE_OBLIG","FQ3 2019","FQ3 2019","Currency=USD","Period=FQ","BEST_FPERIOD_OVERRIDE=FQ","FILING_STATUS=MR","SCALING_FORMAT=MLN","Sort=A","Dates=H","DateFormat=P","Fill=—","Direction=H","UseDPDF=Y")</f>
        <v>536.27499999999998</v>
      </c>
      <c r="F85" s="13">
        <f>_xll.BDH("ALNY US Equity","BS_FUTURE_MIN_OPER_LEASE_OBLIG","FQ4 2019","FQ4 2019","Currency=USD","Period=FQ","BEST_FPERIOD_OVERRIDE=FQ","FILING_STATUS=MR","SCALING_FORMAT=MLN","Sort=A","Dates=H","DateFormat=P","Fill=—","Direction=H","UseDPDF=Y")</f>
        <v>532.70600000000002</v>
      </c>
      <c r="G85" s="13" t="str">
        <f>_xll.BDH("ALNY US Equity","BS_FUTURE_MIN_OPER_LEASE_OBLIG","FQ1 2020","FQ1 2020","Currency=USD","Period=FQ","BEST_FPERIOD_OVERRIDE=FQ","FILING_STATUS=MR","SCALING_FORMAT=MLN","Sort=A","Dates=H","DateFormat=P","Fill=—","Direction=H","UseDPDF=Y")</f>
        <v>—</v>
      </c>
      <c r="H85" s="13" t="str">
        <f>_xll.BDH("ALNY US Equity","BS_FUTURE_MIN_OPER_LEASE_OBLIG","FQ2 2020","FQ2 2020","Currency=USD","Period=FQ","BEST_FPERIOD_OVERRIDE=FQ","FILING_STATUS=MR","SCALING_FORMAT=MLN","Sort=A","Dates=H","DateFormat=P","Fill=—","Direction=H","UseDPDF=Y")</f>
        <v>—</v>
      </c>
      <c r="I85" s="13" t="str">
        <f>_xll.BDH("ALNY US Equity","BS_FUTURE_MIN_OPER_LEASE_OBLIG","FQ3 2020","FQ3 2020","Currency=USD","Period=FQ","BEST_FPERIOD_OVERRIDE=FQ","FILING_STATUS=MR","SCALING_FORMAT=MLN","Sort=A","Dates=H","DateFormat=P","Fill=—","Direction=H","UseDPDF=Y")</f>
        <v>—</v>
      </c>
      <c r="J85" s="13">
        <f>_xll.BDH("ALNY US Equity","BS_FUTURE_MIN_OPER_LEASE_OBLIG","FQ4 2020","FQ4 2020","Currency=USD","Period=FQ","BEST_FPERIOD_OVERRIDE=FQ","FILING_STATUS=MR","SCALING_FORMAT=MLN","Sort=A","Dates=H","DateFormat=P","Fill=—","Direction=H","UseDPDF=Y")</f>
        <v>536.33000000000004</v>
      </c>
      <c r="K85" s="13" t="str">
        <f>_xll.BDH("ALNY US Equity","BS_FUTURE_MIN_OPER_LEASE_OBLIG","FQ1 2021","FQ1 2021","Currency=USD","Period=FQ","BEST_FPERIOD_OVERRIDE=FQ","FILING_STATUS=MR","SCALING_FORMAT=MLN","Sort=A","Dates=H","DateFormat=P","Fill=—","Direction=H","UseDPDF=Y")</f>
        <v>—</v>
      </c>
      <c r="L85" s="13" t="str">
        <f>_xll.BDH("ALNY US Equity","BS_FUTURE_MIN_OPER_LEASE_OBLIG","FQ2 2021","FQ2 2021","Currency=USD","Period=FQ","BEST_FPERIOD_OVERRIDE=FQ","FILING_STATUS=MR","SCALING_FORMAT=MLN","Sort=A","Dates=H","DateFormat=P","Fill=—","Direction=H","UseDPDF=Y")</f>
        <v>—</v>
      </c>
      <c r="M85" s="13" t="str">
        <f>_xll.BDH("ALNY US Equity","BS_FUTURE_MIN_OPER_LEASE_OBLIG","FQ3 2021","FQ3 2021","Currency=USD","Period=FQ","BEST_FPERIOD_OVERRIDE=FQ","FILING_STATUS=MR","SCALING_FORMAT=MLN","Sort=A","Dates=H","DateFormat=P","Fill=—","Direction=H","UseDPDF=Y")</f>
        <v>—</v>
      </c>
      <c r="N85" s="13">
        <f>_xll.BDH("ALNY US Equity","BS_FUTURE_MIN_OPER_LEASE_OBLIG","FQ4 2021","FQ4 2021","Currency=USD","Period=FQ","BEST_FPERIOD_OVERRIDE=FQ","FILING_STATUS=MR","SCALING_FORMAT=MLN","Sort=A","Dates=H","DateFormat=P","Fill=—","Direction=H","UseDPDF=Y")</f>
        <v>503.58699999999999</v>
      </c>
      <c r="O85" s="13" t="str">
        <f>_xll.BDH("ALNY US Equity","BS_FUTURE_MIN_OPER_LEASE_OBLIG","FQ1 2022","FQ1 2022","Currency=USD","Period=FQ","BEST_FPERIOD_OVERRIDE=FQ","FILING_STATUS=MR","SCALING_FORMAT=MLN","Sort=A","Dates=H","DateFormat=P","Fill=—","Direction=H","UseDPDF=Y")</f>
        <v>—</v>
      </c>
      <c r="P85" s="13" t="str">
        <f>_xll.BDH("ALNY US Equity","BS_FUTURE_MIN_OPER_LEASE_OBLIG","FQ2 2022","FQ2 2022","Currency=USD","Period=FQ","BEST_FPERIOD_OVERRIDE=FQ","FILING_STATUS=MR","SCALING_FORMAT=MLN","Sort=A","Dates=H","DateFormat=P","Fill=—","Direction=H","UseDPDF=Y")</f>
        <v>—</v>
      </c>
      <c r="Q85" s="13" t="str">
        <f>_xll.BDH("ALNY US Equity","BS_FUTURE_MIN_OPER_LEASE_OBLIG","FQ3 2022","FQ3 2022","Currency=USD","Period=FQ","BEST_FPERIOD_OVERRIDE=FQ","FILING_STATUS=MR","SCALING_FORMAT=MLN","Sort=A","Dates=H","DateFormat=P","Fill=—","Direction=H","UseDPDF=Y")</f>
        <v>—</v>
      </c>
      <c r="R85" s="13">
        <f>_xll.BDH("ALNY US Equity","BS_FUTURE_MIN_OPER_LEASE_OBLIG","FQ4 2022","FQ4 2022","Currency=USD","Period=FQ","BEST_FPERIOD_OVERRIDE=FQ","FILING_STATUS=MR","SCALING_FORMAT=MLN","Sort=A","Dates=H","DateFormat=P","Fill=—","Direction=H","UseDPDF=Y")</f>
        <v>460.13200000000001</v>
      </c>
      <c r="S85" s="13" t="str">
        <f>_xll.BDH("ALNY US Equity","BS_FUTURE_MIN_OPER_LEASE_OBLIG","FQ1 2023","FQ1 2023","Currency=USD","Period=FQ","BEST_FPERIOD_OVERRIDE=FQ","FILING_STATUS=MR","SCALING_FORMAT=MLN","Sort=A","Dates=H","DateFormat=P","Fill=—","Direction=H","UseDPDF=Y")</f>
        <v>—</v>
      </c>
      <c r="T85" s="13" t="str">
        <f>_xll.BDH("ALNY US Equity","BS_FUTURE_MIN_OPER_LEASE_OBLIG","FQ2 2023","FQ2 2023","Currency=USD","Period=FQ","BEST_FPERIOD_OVERRIDE=FQ","FILING_STATUS=MR","SCALING_FORMAT=MLN","Sort=A","Dates=H","DateFormat=P","Fill=—","Direction=H","UseDPDF=Y")</f>
        <v>—</v>
      </c>
      <c r="U85" s="13" t="str">
        <f>_xll.BDH("ALNY US Equity","BS_FUTURE_MIN_OPER_LEASE_OBLIG","FQ3 2023","FQ3 2023","Currency=USD","Period=FQ","BEST_FPERIOD_OVERRIDE=FQ","FILING_STATUS=MR","SCALING_FORMAT=MLN","Sort=A","Dates=H","DateFormat=P","Fill=—","Direction=H","UseDPDF=Y")</f>
        <v>—</v>
      </c>
      <c r="V85" s="13">
        <f>_xll.BDH("ALNY US Equity","BS_FUTURE_MIN_OPER_LEASE_OBLIG","FQ4 2023","FQ4 2023","Currency=USD","Period=FQ","BEST_FPERIOD_OVERRIDE=FQ","FILING_STATUS=MR","SCALING_FORMAT=MLN","Sort=A","Dates=H","DateFormat=P","Fill=—","Direction=H","UseDPDF=Y")</f>
        <v>418.041</v>
      </c>
      <c r="W85" s="13" t="str">
        <f>_xll.BDH("ALNY US Equity","BS_FUTURE_MIN_OPER_LEASE_OBLIG","FQ1 2024","FQ1 2024","Currency=USD","Period=FQ","BEST_FPERIOD_OVERRIDE=FQ","FILING_STATUS=MR","SCALING_FORMAT=MLN","Sort=A","Dates=H","DateFormat=P","Fill=—","Direction=H","UseDPDF=Y")</f>
        <v>—</v>
      </c>
      <c r="X85" s="13" t="str">
        <f>_xll.BDH("ALNY US Equity","BS_FUTURE_MIN_OPER_LEASE_OBLIG","FQ2 2024","FQ2 2024","Currency=USD","Period=FQ","BEST_FPERIOD_OVERRIDE=FQ","FILING_STATUS=MR","SCALING_FORMAT=MLN","Sort=A","Dates=H","DateFormat=P","Fill=—","Direction=H","UseDPDF=Y")</f>
        <v>—</v>
      </c>
      <c r="Y85" s="13" t="str">
        <f>_xll.BDH("ALNY US Equity","BS_FUTURE_MIN_OPER_LEASE_OBLIG","FQ3 2024","FQ3 2024","Currency=USD","Period=FQ","BEST_FPERIOD_OVERRIDE=FQ","FILING_STATUS=MR","SCALING_FORMAT=MLN","Sort=A","Dates=H","DateFormat=P","Fill=—","Direction=H","UseDPDF=Y")</f>
        <v>—</v>
      </c>
      <c r="Z85" s="13">
        <f>_xll.BDH("ALNY US Equity","BS_FUTURE_MIN_OPER_LEASE_OBLIG","FQ4 2024","FQ4 2024","Currency=USD","Period=FQ","BEST_FPERIOD_OVERRIDE=FQ","FILING_STATUS=MR","SCALING_FORMAT=MLN","Sort=A","Dates=H","DateFormat=P","Fill=—","Direction=H","UseDPDF=Y")</f>
        <v>384.48899999999998</v>
      </c>
    </row>
    <row r="86" spans="1:26" x14ac:dyDescent="0.25">
      <c r="A86" s="10" t="s">
        <v>320</v>
      </c>
      <c r="B86" s="10" t="s">
        <v>321</v>
      </c>
      <c r="C86" s="13" t="str">
        <f>_xll.BDH("ALNY US Equity","BS_TOTAL_CAPITAL_LEASES","FQ1 2019","FQ1 2019","Currency=USD","Period=FQ","BEST_FPERIOD_OVERRIDE=FQ","FILING_STATUS=MR","SCALING_FORMAT=MLN","Sort=A","Dates=H","DateFormat=P","Fill=—","Direction=H","UseDPDF=Y")</f>
        <v>—</v>
      </c>
      <c r="D86" s="13" t="str">
        <f>_xll.BDH("ALNY US Equity","BS_TOTAL_CAPITAL_LEASES","FQ2 2019","FQ2 2019","Currency=USD","Period=FQ","BEST_FPERIOD_OVERRIDE=FQ","FILING_STATUS=MR","SCALING_FORMAT=MLN","Sort=A","Dates=H","DateFormat=P","Fill=—","Direction=H","UseDPDF=Y")</f>
        <v>—</v>
      </c>
      <c r="E86" s="13" t="str">
        <f>_xll.BDH("ALNY US Equity","BS_TOTAL_CAPITAL_LEASES","FQ3 2019","FQ3 2019","Currency=USD","Period=FQ","BEST_FPERIOD_OVERRIDE=FQ","FILING_STATUS=MR","SCALING_FORMAT=MLN","Sort=A","Dates=H","DateFormat=P","Fill=—","Direction=H","UseDPDF=Y")</f>
        <v>—</v>
      </c>
      <c r="F86" s="13" t="str">
        <f>_xll.BDH("ALNY US Equity","BS_TOTAL_CAPITAL_LEASES","FQ4 2019","FQ4 2019","Currency=USD","Period=FQ","BEST_FPERIOD_OVERRIDE=FQ","FILING_STATUS=MR","SCALING_FORMAT=MLN","Sort=A","Dates=H","DateFormat=P","Fill=—","Direction=H","UseDPDF=Y")</f>
        <v>—</v>
      </c>
      <c r="G86" s="13" t="str">
        <f>_xll.BDH("ALNY US Equity","BS_TOTAL_CAPITAL_LEASES","FQ1 2020","FQ1 2020","Currency=USD","Period=FQ","BEST_FPERIOD_OVERRIDE=FQ","FILING_STATUS=MR","SCALING_FORMAT=MLN","Sort=A","Dates=H","DateFormat=P","Fill=—","Direction=H","UseDPDF=Y")</f>
        <v>—</v>
      </c>
      <c r="H86" s="13" t="str">
        <f>_xll.BDH("ALNY US Equity","BS_TOTAL_CAPITAL_LEASES","FQ2 2020","FQ2 2020","Currency=USD","Period=FQ","BEST_FPERIOD_OVERRIDE=FQ","FILING_STATUS=MR","SCALING_FORMAT=MLN","Sort=A","Dates=H","DateFormat=P","Fill=—","Direction=H","UseDPDF=Y")</f>
        <v>—</v>
      </c>
      <c r="I86" s="13" t="str">
        <f>_xll.BDH("ALNY US Equity","BS_TOTAL_CAPITAL_LEASES","FQ3 2020","FQ3 2020","Currency=USD","Period=FQ","BEST_FPERIOD_OVERRIDE=FQ","FILING_STATUS=MR","SCALING_FORMAT=MLN","Sort=A","Dates=H","DateFormat=P","Fill=—","Direction=H","UseDPDF=Y")</f>
        <v>—</v>
      </c>
      <c r="J86" s="13" t="str">
        <f>_xll.BDH("ALNY US Equity","BS_TOTAL_CAPITAL_LEASES","FQ4 2020","FQ4 2020","Currency=USD","Period=FQ","BEST_FPERIOD_OVERRIDE=FQ","FILING_STATUS=MR","SCALING_FORMAT=MLN","Sort=A","Dates=H","DateFormat=P","Fill=—","Direction=H","UseDPDF=Y")</f>
        <v>—</v>
      </c>
      <c r="K86" s="13" t="str">
        <f>_xll.BDH("ALNY US Equity","BS_TOTAL_CAPITAL_LEASES","FQ1 2021","FQ1 2021","Currency=USD","Period=FQ","BEST_FPERIOD_OVERRIDE=FQ","FILING_STATUS=MR","SCALING_FORMAT=MLN","Sort=A","Dates=H","DateFormat=P","Fill=—","Direction=H","UseDPDF=Y")</f>
        <v>—</v>
      </c>
      <c r="L86" s="13" t="str">
        <f>_xll.BDH("ALNY US Equity","BS_TOTAL_CAPITAL_LEASES","FQ2 2021","FQ2 2021","Currency=USD","Period=FQ","BEST_FPERIOD_OVERRIDE=FQ","FILING_STATUS=MR","SCALING_FORMAT=MLN","Sort=A","Dates=H","DateFormat=P","Fill=—","Direction=H","UseDPDF=Y")</f>
        <v>—</v>
      </c>
      <c r="M86" s="13" t="str">
        <f>_xll.BDH("ALNY US Equity","BS_TOTAL_CAPITAL_LEASES","FQ3 2021","FQ3 2021","Currency=USD","Period=FQ","BEST_FPERIOD_OVERRIDE=FQ","FILING_STATUS=MR","SCALING_FORMAT=MLN","Sort=A","Dates=H","DateFormat=P","Fill=—","Direction=H","UseDPDF=Y")</f>
        <v>—</v>
      </c>
      <c r="N86" s="13" t="str">
        <f>_xll.BDH("ALNY US Equity","BS_TOTAL_CAPITAL_LEASES","FQ4 2021","FQ4 2021","Currency=USD","Period=FQ","BEST_FPERIOD_OVERRIDE=FQ","FILING_STATUS=MR","SCALING_FORMAT=MLN","Sort=A","Dates=H","DateFormat=P","Fill=—","Direction=H","UseDPDF=Y")</f>
        <v>—</v>
      </c>
      <c r="O86" s="13" t="str">
        <f>_xll.BDH("ALNY US Equity","BS_TOTAL_CAPITAL_LEASES","FQ1 2022","FQ1 2022","Currency=USD","Period=FQ","BEST_FPERIOD_OVERRIDE=FQ","FILING_STATUS=MR","SCALING_FORMAT=MLN","Sort=A","Dates=H","DateFormat=P","Fill=—","Direction=H","UseDPDF=Y")</f>
        <v>—</v>
      </c>
      <c r="P86" s="13" t="str">
        <f>_xll.BDH("ALNY US Equity","BS_TOTAL_CAPITAL_LEASES","FQ2 2022","FQ2 2022","Currency=USD","Period=FQ","BEST_FPERIOD_OVERRIDE=FQ","FILING_STATUS=MR","SCALING_FORMAT=MLN","Sort=A","Dates=H","DateFormat=P","Fill=—","Direction=H","UseDPDF=Y")</f>
        <v>—</v>
      </c>
      <c r="Q86" s="13" t="str">
        <f>_xll.BDH("ALNY US Equity","BS_TOTAL_CAPITAL_LEASES","FQ3 2022","FQ3 2022","Currency=USD","Period=FQ","BEST_FPERIOD_OVERRIDE=FQ","FILING_STATUS=MR","SCALING_FORMAT=MLN","Sort=A","Dates=H","DateFormat=P","Fill=—","Direction=H","UseDPDF=Y")</f>
        <v>—</v>
      </c>
      <c r="R86" s="13" t="str">
        <f>_xll.BDH("ALNY US Equity","BS_TOTAL_CAPITAL_LEASES","FQ4 2022","FQ4 2022","Currency=USD","Period=FQ","BEST_FPERIOD_OVERRIDE=FQ","FILING_STATUS=MR","SCALING_FORMAT=MLN","Sort=A","Dates=H","DateFormat=P","Fill=—","Direction=H","UseDPDF=Y")</f>
        <v>—</v>
      </c>
      <c r="S86" s="13" t="str">
        <f>_xll.BDH("ALNY US Equity","BS_TOTAL_CAPITAL_LEASES","FQ1 2023","FQ1 2023","Currency=USD","Period=FQ","BEST_FPERIOD_OVERRIDE=FQ","FILING_STATUS=MR","SCALING_FORMAT=MLN","Sort=A","Dates=H","DateFormat=P","Fill=—","Direction=H","UseDPDF=Y")</f>
        <v>—</v>
      </c>
      <c r="T86" s="13" t="str">
        <f>_xll.BDH("ALNY US Equity","BS_TOTAL_CAPITAL_LEASES","FQ2 2023","FQ2 2023","Currency=USD","Period=FQ","BEST_FPERIOD_OVERRIDE=FQ","FILING_STATUS=MR","SCALING_FORMAT=MLN","Sort=A","Dates=H","DateFormat=P","Fill=—","Direction=H","UseDPDF=Y")</f>
        <v>—</v>
      </c>
      <c r="U86" s="13" t="str">
        <f>_xll.BDH("ALNY US Equity","BS_TOTAL_CAPITAL_LEASES","FQ3 2023","FQ3 2023","Currency=USD","Period=FQ","BEST_FPERIOD_OVERRIDE=FQ","FILING_STATUS=MR","SCALING_FORMAT=MLN","Sort=A","Dates=H","DateFormat=P","Fill=—","Direction=H","UseDPDF=Y")</f>
        <v>—</v>
      </c>
      <c r="V86" s="13" t="str">
        <f>_xll.BDH("ALNY US Equity","BS_TOTAL_CAPITAL_LEASES","FQ4 2023","FQ4 2023","Currency=USD","Period=FQ","BEST_FPERIOD_OVERRIDE=FQ","FILING_STATUS=MR","SCALING_FORMAT=MLN","Sort=A","Dates=H","DateFormat=P","Fill=—","Direction=H","UseDPDF=Y")</f>
        <v>—</v>
      </c>
      <c r="W86" s="13" t="str">
        <f>_xll.BDH("ALNY US Equity","BS_TOTAL_CAPITAL_LEASES","FQ1 2024","FQ1 2024","Currency=USD","Period=FQ","BEST_FPERIOD_OVERRIDE=FQ","FILING_STATUS=MR","SCALING_FORMAT=MLN","Sort=A","Dates=H","DateFormat=P","Fill=—","Direction=H","UseDPDF=Y")</f>
        <v>—</v>
      </c>
      <c r="X86" s="13" t="str">
        <f>_xll.BDH("ALNY US Equity","BS_TOTAL_CAPITAL_LEASES","FQ2 2024","FQ2 2024","Currency=USD","Period=FQ","BEST_FPERIOD_OVERRIDE=FQ","FILING_STATUS=MR","SCALING_FORMAT=MLN","Sort=A","Dates=H","DateFormat=P","Fill=—","Direction=H","UseDPDF=Y")</f>
        <v>—</v>
      </c>
      <c r="Y86" s="13" t="str">
        <f>_xll.BDH("ALNY US Equity","BS_TOTAL_CAPITAL_LEASES","FQ3 2024","FQ3 2024","Currency=USD","Period=FQ","BEST_FPERIOD_OVERRIDE=FQ","FILING_STATUS=MR","SCALING_FORMAT=MLN","Sort=A","Dates=H","DateFormat=P","Fill=—","Direction=H","UseDPDF=Y")</f>
        <v>—</v>
      </c>
      <c r="Z86" s="13" t="str">
        <f>_xll.BDH("ALNY US Equity","BS_TOTAL_CAPITAL_LEASES","FQ4 2024","FQ4 2024","Currency=USD","Period=FQ","BEST_FPERIOD_OVERRIDE=FQ","FILING_STATUS=MR","SCALING_FORMAT=MLN","Sort=A","Dates=H","DateFormat=P","Fill=—","Direction=H","UseDPDF=Y")</f>
        <v>—</v>
      </c>
    </row>
    <row r="87" spans="1:26" x14ac:dyDescent="0.25">
      <c r="A87" s="10" t="s">
        <v>322</v>
      </c>
      <c r="B87" s="10" t="s">
        <v>323</v>
      </c>
      <c r="C87" s="13" t="str">
        <f>_xll.BDH("ALNY US Equity","BS_OPTIONS_GRANTED","FQ1 2019","FQ1 2019","Currency=USD","Period=FQ","BEST_FPERIOD_OVERRIDE=FQ","FILING_STATUS=MR","Sort=A","Dates=H","DateFormat=P","Fill=—","Direction=H","UseDPDF=Y")</f>
        <v>—</v>
      </c>
      <c r="D87" s="13" t="str">
        <f>_xll.BDH("ALNY US Equity","BS_OPTIONS_GRANTED","FQ2 2019","FQ2 2019","Currency=USD","Period=FQ","BEST_FPERIOD_OVERRIDE=FQ","FILING_STATUS=MR","Sort=A","Dates=H","DateFormat=P","Fill=—","Direction=H","UseDPDF=Y")</f>
        <v>—</v>
      </c>
      <c r="E87" s="13" t="str">
        <f>_xll.BDH("ALNY US Equity","BS_OPTIONS_GRANTED","FQ3 2019","FQ3 2019","Currency=USD","Period=FQ","BEST_FPERIOD_OVERRIDE=FQ","FILING_STATUS=MR","Sort=A","Dates=H","DateFormat=P","Fill=—","Direction=H","UseDPDF=Y")</f>
        <v>—</v>
      </c>
      <c r="F87" s="13" t="str">
        <f>_xll.BDH("ALNY US Equity","BS_OPTIONS_GRANTED","FQ4 2019","FQ4 2019","Currency=USD","Period=FQ","BEST_FPERIOD_OVERRIDE=FQ","FILING_STATUS=MR","Sort=A","Dates=H","DateFormat=P","Fill=—","Direction=H","UseDPDF=Y")</f>
        <v>—</v>
      </c>
      <c r="G87" s="13" t="str">
        <f>_xll.BDH("ALNY US Equity","BS_OPTIONS_GRANTED","FQ1 2020","FQ1 2020","Currency=USD","Period=FQ","BEST_FPERIOD_OVERRIDE=FQ","FILING_STATUS=MR","Sort=A","Dates=H","DateFormat=P","Fill=—","Direction=H","UseDPDF=Y")</f>
        <v>—</v>
      </c>
      <c r="H87" s="13" t="str">
        <f>_xll.BDH("ALNY US Equity","BS_OPTIONS_GRANTED","FQ2 2020","FQ2 2020","Currency=USD","Period=FQ","BEST_FPERIOD_OVERRIDE=FQ","FILING_STATUS=MR","Sort=A","Dates=H","DateFormat=P","Fill=—","Direction=H","UseDPDF=Y")</f>
        <v>—</v>
      </c>
      <c r="I87" s="13" t="str">
        <f>_xll.BDH("ALNY US Equity","BS_OPTIONS_GRANTED","FQ3 2020","FQ3 2020","Currency=USD","Period=FQ","BEST_FPERIOD_OVERRIDE=FQ","FILING_STATUS=MR","Sort=A","Dates=H","DateFormat=P","Fill=—","Direction=H","UseDPDF=Y")</f>
        <v>—</v>
      </c>
      <c r="J87" s="13" t="str">
        <f>_xll.BDH("ALNY US Equity","BS_OPTIONS_GRANTED","FQ4 2020","FQ4 2020","Currency=USD","Period=FQ","BEST_FPERIOD_OVERRIDE=FQ","FILING_STATUS=MR","Sort=A","Dates=H","DateFormat=P","Fill=—","Direction=H","UseDPDF=Y")</f>
        <v>—</v>
      </c>
      <c r="K87" s="13" t="str">
        <f>_xll.BDH("ALNY US Equity","BS_OPTIONS_GRANTED","FQ1 2021","FQ1 2021","Currency=USD","Period=FQ","BEST_FPERIOD_OVERRIDE=FQ","FILING_STATUS=MR","Sort=A","Dates=H","DateFormat=P","Fill=—","Direction=H","UseDPDF=Y")</f>
        <v>—</v>
      </c>
      <c r="L87" s="13" t="str">
        <f>_xll.BDH("ALNY US Equity","BS_OPTIONS_GRANTED","FQ2 2021","FQ2 2021","Currency=USD","Period=FQ","BEST_FPERIOD_OVERRIDE=FQ","FILING_STATUS=MR","Sort=A","Dates=H","DateFormat=P","Fill=—","Direction=H","UseDPDF=Y")</f>
        <v>—</v>
      </c>
      <c r="M87" s="13" t="str">
        <f>_xll.BDH("ALNY US Equity","BS_OPTIONS_GRANTED","FQ3 2021","FQ3 2021","Currency=USD","Period=FQ","BEST_FPERIOD_OVERRIDE=FQ","FILING_STATUS=MR","Sort=A","Dates=H","DateFormat=P","Fill=—","Direction=H","UseDPDF=Y")</f>
        <v>—</v>
      </c>
      <c r="N87" s="13">
        <f>_xll.BDH("ALNY US Equity","BS_OPTIONS_GRANTED","FQ4 2021","FQ4 2021","Currency=USD","Period=FQ","BEST_FPERIOD_OVERRIDE=FQ","FILING_STATUS=MR","Sort=A","Dates=H","DateFormat=P","Fill=—","Direction=H","UseDPDF=Y")</f>
        <v>1.893</v>
      </c>
      <c r="O87" s="13" t="str">
        <f>_xll.BDH("ALNY US Equity","BS_OPTIONS_GRANTED","FQ1 2022","FQ1 2022","Currency=USD","Period=FQ","BEST_FPERIOD_OVERRIDE=FQ","FILING_STATUS=MR","Sort=A","Dates=H","DateFormat=P","Fill=—","Direction=H","UseDPDF=Y")</f>
        <v>—</v>
      </c>
      <c r="P87" s="13" t="str">
        <f>_xll.BDH("ALNY US Equity","BS_OPTIONS_GRANTED","FQ2 2022","FQ2 2022","Currency=USD","Period=FQ","BEST_FPERIOD_OVERRIDE=FQ","FILING_STATUS=MR","Sort=A","Dates=H","DateFormat=P","Fill=—","Direction=H","UseDPDF=Y")</f>
        <v>—</v>
      </c>
      <c r="Q87" s="13" t="str">
        <f>_xll.BDH("ALNY US Equity","BS_OPTIONS_GRANTED","FQ3 2022","FQ3 2022","Currency=USD","Period=FQ","BEST_FPERIOD_OVERRIDE=FQ","FILING_STATUS=MR","Sort=A","Dates=H","DateFormat=P","Fill=—","Direction=H","UseDPDF=Y")</f>
        <v>—</v>
      </c>
      <c r="R87" s="13" t="str">
        <f>_xll.BDH("ALNY US Equity","BS_OPTIONS_GRANTED","FQ4 2022","FQ4 2022","Currency=USD","Period=FQ","BEST_FPERIOD_OVERRIDE=FQ","FILING_STATUS=MR","Sort=A","Dates=H","DateFormat=P","Fill=—","Direction=H","UseDPDF=Y")</f>
        <v>—</v>
      </c>
      <c r="S87" s="13" t="str">
        <f>_xll.BDH("ALNY US Equity","BS_OPTIONS_GRANTED","FQ1 2023","FQ1 2023","Currency=USD","Period=FQ","BEST_FPERIOD_OVERRIDE=FQ","FILING_STATUS=MR","Sort=A","Dates=H","DateFormat=P","Fill=—","Direction=H","UseDPDF=Y")</f>
        <v>—</v>
      </c>
      <c r="T87" s="13" t="str">
        <f>_xll.BDH("ALNY US Equity","BS_OPTIONS_GRANTED","FQ2 2023","FQ2 2023","Currency=USD","Period=FQ","BEST_FPERIOD_OVERRIDE=FQ","FILING_STATUS=MR","Sort=A","Dates=H","DateFormat=P","Fill=—","Direction=H","UseDPDF=Y")</f>
        <v>—</v>
      </c>
      <c r="U87" s="13" t="str">
        <f>_xll.BDH("ALNY US Equity","BS_OPTIONS_GRANTED","FQ3 2023","FQ3 2023","Currency=USD","Period=FQ","BEST_FPERIOD_OVERRIDE=FQ","FILING_STATUS=MR","Sort=A","Dates=H","DateFormat=P","Fill=—","Direction=H","UseDPDF=Y")</f>
        <v>—</v>
      </c>
      <c r="V87" s="13" t="str">
        <f>_xll.BDH("ALNY US Equity","BS_OPTIONS_GRANTED","FQ4 2023","FQ4 2023","Currency=USD","Period=FQ","BEST_FPERIOD_OVERRIDE=FQ","FILING_STATUS=MR","Sort=A","Dates=H","DateFormat=P","Fill=—","Direction=H","UseDPDF=Y")</f>
        <v>—</v>
      </c>
      <c r="W87" s="13" t="str">
        <f>_xll.BDH("ALNY US Equity","BS_OPTIONS_GRANTED","FQ1 2024","FQ1 2024","Currency=USD","Period=FQ","BEST_FPERIOD_OVERRIDE=FQ","FILING_STATUS=MR","Sort=A","Dates=H","DateFormat=P","Fill=—","Direction=H","UseDPDF=Y")</f>
        <v>—</v>
      </c>
      <c r="X87" s="13" t="str">
        <f>_xll.BDH("ALNY US Equity","BS_OPTIONS_GRANTED","FQ2 2024","FQ2 2024","Currency=USD","Period=FQ","BEST_FPERIOD_OVERRIDE=FQ","FILING_STATUS=MR","Sort=A","Dates=H","DateFormat=P","Fill=—","Direction=H","UseDPDF=Y")</f>
        <v>—</v>
      </c>
      <c r="Y87" s="13" t="str">
        <f>_xll.BDH("ALNY US Equity","BS_OPTIONS_GRANTED","FQ3 2024","FQ3 2024","Currency=USD","Period=FQ","BEST_FPERIOD_OVERRIDE=FQ","FILING_STATUS=MR","Sort=A","Dates=H","DateFormat=P","Fill=—","Direction=H","UseDPDF=Y")</f>
        <v>—</v>
      </c>
      <c r="Z87" s="13" t="str">
        <f>_xll.BDH("ALNY US Equity","BS_OPTIONS_GRANTED","FQ4 2024","FQ4 2024","Currency=USD","Period=FQ","BEST_FPERIOD_OVERRIDE=FQ","FILING_STATUS=MR","Sort=A","Dates=H","DateFormat=P","Fill=—","Direction=H","UseDPDF=Y")</f>
        <v>—</v>
      </c>
    </row>
    <row r="88" spans="1:26" x14ac:dyDescent="0.25">
      <c r="A88" s="10" t="s">
        <v>324</v>
      </c>
      <c r="B88" s="10" t="s">
        <v>325</v>
      </c>
      <c r="C88" s="13" t="str">
        <f>_xll.BDH("ALNY US Equity","BS_OPTIONS_OUTSTANDING","FQ1 2019","FQ1 2019","Currency=USD","Period=FQ","BEST_FPERIOD_OVERRIDE=FQ","FILING_STATUS=MR","Sort=A","Dates=H","DateFormat=P","Fill=—","Direction=H","UseDPDF=Y")</f>
        <v>—</v>
      </c>
      <c r="D88" s="13" t="str">
        <f>_xll.BDH("ALNY US Equity","BS_OPTIONS_OUTSTANDING","FQ2 2019","FQ2 2019","Currency=USD","Period=FQ","BEST_FPERIOD_OVERRIDE=FQ","FILING_STATUS=MR","Sort=A","Dates=H","DateFormat=P","Fill=—","Direction=H","UseDPDF=Y")</f>
        <v>—</v>
      </c>
      <c r="E88" s="13" t="str">
        <f>_xll.BDH("ALNY US Equity","BS_OPTIONS_OUTSTANDING","FQ3 2019","FQ3 2019","Currency=USD","Period=FQ","BEST_FPERIOD_OVERRIDE=FQ","FILING_STATUS=MR","Sort=A","Dates=H","DateFormat=P","Fill=—","Direction=H","UseDPDF=Y")</f>
        <v>—</v>
      </c>
      <c r="F88" s="13">
        <f>_xll.BDH("ALNY US Equity","BS_OPTIONS_OUTSTANDING","FQ4 2019","FQ4 2019","Currency=USD","Period=FQ","BEST_FPERIOD_OVERRIDE=FQ","FILING_STATUS=MR","Sort=A","Dates=H","DateFormat=P","Fill=—","Direction=H","UseDPDF=Y")</f>
        <v>10.878</v>
      </c>
      <c r="G88" s="13" t="str">
        <f>_xll.BDH("ALNY US Equity","BS_OPTIONS_OUTSTANDING","FQ1 2020","FQ1 2020","Currency=USD","Period=FQ","BEST_FPERIOD_OVERRIDE=FQ","FILING_STATUS=MR","Sort=A","Dates=H","DateFormat=P","Fill=—","Direction=H","UseDPDF=Y")</f>
        <v>—</v>
      </c>
      <c r="H88" s="13" t="str">
        <f>_xll.BDH("ALNY US Equity","BS_OPTIONS_OUTSTANDING","FQ2 2020","FQ2 2020","Currency=USD","Period=FQ","BEST_FPERIOD_OVERRIDE=FQ","FILING_STATUS=MR","Sort=A","Dates=H","DateFormat=P","Fill=—","Direction=H","UseDPDF=Y")</f>
        <v>—</v>
      </c>
      <c r="I88" s="13" t="str">
        <f>_xll.BDH("ALNY US Equity","BS_OPTIONS_OUTSTANDING","FQ3 2020","FQ3 2020","Currency=USD","Period=FQ","BEST_FPERIOD_OVERRIDE=FQ","FILING_STATUS=MR","Sort=A","Dates=H","DateFormat=P","Fill=—","Direction=H","UseDPDF=Y")</f>
        <v>—</v>
      </c>
      <c r="J88" s="13">
        <f>_xll.BDH("ALNY US Equity","BS_OPTIONS_OUTSTANDING","FQ4 2020","FQ4 2020","Currency=USD","Period=FQ","BEST_FPERIOD_OVERRIDE=FQ","FILING_STATUS=MR","Sort=A","Dates=H","DateFormat=P","Fill=—","Direction=H","UseDPDF=Y")</f>
        <v>10.068</v>
      </c>
      <c r="K88" s="13" t="str">
        <f>_xll.BDH("ALNY US Equity","BS_OPTIONS_OUTSTANDING","FQ1 2021","FQ1 2021","Currency=USD","Period=FQ","BEST_FPERIOD_OVERRIDE=FQ","FILING_STATUS=MR","Sort=A","Dates=H","DateFormat=P","Fill=—","Direction=H","UseDPDF=Y")</f>
        <v>—</v>
      </c>
      <c r="L88" s="13" t="str">
        <f>_xll.BDH("ALNY US Equity","BS_OPTIONS_OUTSTANDING","FQ2 2021","FQ2 2021","Currency=USD","Period=FQ","BEST_FPERIOD_OVERRIDE=FQ","FILING_STATUS=MR","Sort=A","Dates=H","DateFormat=P","Fill=—","Direction=H","UseDPDF=Y")</f>
        <v>—</v>
      </c>
      <c r="M88" s="13" t="str">
        <f>_xll.BDH("ALNY US Equity","BS_OPTIONS_OUTSTANDING","FQ3 2021","FQ3 2021","Currency=USD","Period=FQ","BEST_FPERIOD_OVERRIDE=FQ","FILING_STATUS=MR","Sort=A","Dates=H","DateFormat=P","Fill=—","Direction=H","UseDPDF=Y")</f>
        <v>—</v>
      </c>
      <c r="N88" s="13">
        <f>_xll.BDH("ALNY US Equity","BS_OPTIONS_OUTSTANDING","FQ4 2021","FQ4 2021","Currency=USD","Period=FQ","BEST_FPERIOD_OVERRIDE=FQ","FILING_STATUS=MR","Sort=A","Dates=H","DateFormat=P","Fill=—","Direction=H","UseDPDF=Y")</f>
        <v>8.84</v>
      </c>
      <c r="O88" s="13" t="str">
        <f>_xll.BDH("ALNY US Equity","BS_OPTIONS_OUTSTANDING","FQ1 2022","FQ1 2022","Currency=USD","Period=FQ","BEST_FPERIOD_OVERRIDE=FQ","FILING_STATUS=MR","Sort=A","Dates=H","DateFormat=P","Fill=—","Direction=H","UseDPDF=Y")</f>
        <v>—</v>
      </c>
      <c r="P88" s="13" t="str">
        <f>_xll.BDH("ALNY US Equity","BS_OPTIONS_OUTSTANDING","FQ2 2022","FQ2 2022","Currency=USD","Period=FQ","BEST_FPERIOD_OVERRIDE=FQ","FILING_STATUS=MR","Sort=A","Dates=H","DateFormat=P","Fill=—","Direction=H","UseDPDF=Y")</f>
        <v>—</v>
      </c>
      <c r="Q88" s="13" t="str">
        <f>_xll.BDH("ALNY US Equity","BS_OPTIONS_OUTSTANDING","FQ3 2022","FQ3 2022","Currency=USD","Period=FQ","BEST_FPERIOD_OVERRIDE=FQ","FILING_STATUS=MR","Sort=A","Dates=H","DateFormat=P","Fill=—","Direction=H","UseDPDF=Y")</f>
        <v>—</v>
      </c>
      <c r="R88" s="13">
        <f>_xll.BDH("ALNY US Equity","BS_OPTIONS_OUTSTANDING","FQ4 2022","FQ4 2022","Currency=USD","Period=FQ","BEST_FPERIOD_OVERRIDE=FQ","FILING_STATUS=MR","Sort=A","Dates=H","DateFormat=P","Fill=—","Direction=H","UseDPDF=Y")</f>
        <v>7.8680000000000003</v>
      </c>
      <c r="S88" s="13" t="str">
        <f>_xll.BDH("ALNY US Equity","BS_OPTIONS_OUTSTANDING","FQ1 2023","FQ1 2023","Currency=USD","Period=FQ","BEST_FPERIOD_OVERRIDE=FQ","FILING_STATUS=MR","Sort=A","Dates=H","DateFormat=P","Fill=—","Direction=H","UseDPDF=Y")</f>
        <v>—</v>
      </c>
      <c r="T88" s="13" t="str">
        <f>_xll.BDH("ALNY US Equity","BS_OPTIONS_OUTSTANDING","FQ2 2023","FQ2 2023","Currency=USD","Period=FQ","BEST_FPERIOD_OVERRIDE=FQ","FILING_STATUS=MR","Sort=A","Dates=H","DateFormat=P","Fill=—","Direction=H","UseDPDF=Y")</f>
        <v>—</v>
      </c>
      <c r="U88" s="13" t="str">
        <f>_xll.BDH("ALNY US Equity","BS_OPTIONS_OUTSTANDING","FQ3 2023","FQ3 2023","Currency=USD","Period=FQ","BEST_FPERIOD_OVERRIDE=FQ","FILING_STATUS=MR","Sort=A","Dates=H","DateFormat=P","Fill=—","Direction=H","UseDPDF=Y")</f>
        <v>—</v>
      </c>
      <c r="V88" s="13">
        <f>_xll.BDH("ALNY US Equity","BS_OPTIONS_OUTSTANDING","FQ4 2023","FQ4 2023","Currency=USD","Period=FQ","BEST_FPERIOD_OVERRIDE=FQ","FILING_STATUS=MR","Sort=A","Dates=H","DateFormat=P","Fill=—","Direction=H","UseDPDF=Y")</f>
        <v>6.96</v>
      </c>
      <c r="W88" s="13" t="str">
        <f>_xll.BDH("ALNY US Equity","BS_OPTIONS_OUTSTANDING","FQ1 2024","FQ1 2024","Currency=USD","Period=FQ","BEST_FPERIOD_OVERRIDE=FQ","FILING_STATUS=MR","Sort=A","Dates=H","DateFormat=P","Fill=—","Direction=H","UseDPDF=Y")</f>
        <v>—</v>
      </c>
      <c r="X88" s="13" t="str">
        <f>_xll.BDH("ALNY US Equity","BS_OPTIONS_OUTSTANDING","FQ2 2024","FQ2 2024","Currency=USD","Period=FQ","BEST_FPERIOD_OVERRIDE=FQ","FILING_STATUS=MR","Sort=A","Dates=H","DateFormat=P","Fill=—","Direction=H","UseDPDF=Y")</f>
        <v>—</v>
      </c>
      <c r="Y88" s="13" t="str">
        <f>_xll.BDH("ALNY US Equity","BS_OPTIONS_OUTSTANDING","FQ3 2024","FQ3 2024","Currency=USD","Period=FQ","BEST_FPERIOD_OVERRIDE=FQ","FILING_STATUS=MR","Sort=A","Dates=H","DateFormat=P","Fill=—","Direction=H","UseDPDF=Y")</f>
        <v>—</v>
      </c>
      <c r="Z88" s="13">
        <f>_xll.BDH("ALNY US Equity","BS_OPTIONS_OUTSTANDING","FQ4 2024","FQ4 2024","Currency=USD","Period=FQ","BEST_FPERIOD_OVERRIDE=FQ","FILING_STATUS=MR","Sort=A","Dates=H","DateFormat=P","Fill=—","Direction=H","UseDPDF=Y")</f>
        <v>4.8630000000000004</v>
      </c>
    </row>
    <row r="89" spans="1:26" x14ac:dyDescent="0.25">
      <c r="A89" s="10" t="s">
        <v>326</v>
      </c>
      <c r="B89" s="10" t="s">
        <v>327</v>
      </c>
      <c r="C89" s="13">
        <f>_xll.BDH("ALNY US Equity","NET_DEBT","FQ1 2019","FQ1 2019","Currency=USD","Period=FQ","BEST_FPERIOD_OVERRIDE=FQ","FILING_STATUS=MR","SCALING_FORMAT=MLN","Sort=A","Dates=H","DateFormat=P","Fill=—","Direction=H","UseDPDF=Y")</f>
        <v>-915.26</v>
      </c>
      <c r="D89" s="13">
        <f>_xll.BDH("ALNY US Equity","NET_DEBT","FQ2 2019","FQ2 2019","Currency=USD","Period=FQ","BEST_FPERIOD_OVERRIDE=FQ","FILING_STATUS=MR","SCALING_FORMAT=MLN","Sort=A","Dates=H","DateFormat=P","Fill=—","Direction=H","UseDPDF=Y")</f>
        <v>-1590.2729999999999</v>
      </c>
      <c r="E89" s="13">
        <f>_xll.BDH("ALNY US Equity","NET_DEBT","FQ3 2019","FQ3 2019","Currency=USD","Period=FQ","BEST_FPERIOD_OVERRIDE=FQ","FILING_STATUS=MR","SCALING_FORMAT=MLN","Sort=A","Dates=H","DateFormat=P","Fill=—","Direction=H","UseDPDF=Y")</f>
        <v>-1416.4369999999999</v>
      </c>
      <c r="F89" s="13">
        <f>_xll.BDH("ALNY US Equity","NET_DEBT","FQ4 2019","FQ4 2019","Currency=USD","Period=FQ","BEST_FPERIOD_OVERRIDE=FQ","FILING_STATUS=MR","SCALING_FORMAT=MLN","Sort=A","Dates=H","DateFormat=P","Fill=—","Direction=H","UseDPDF=Y")</f>
        <v>-1232.3389999999999</v>
      </c>
      <c r="G89" s="13">
        <f>_xll.BDH("ALNY US Equity","NET_DEBT","FQ1 2020","FQ1 2020","Currency=USD","Period=FQ","BEST_FPERIOD_OVERRIDE=FQ","FILING_STATUS=MR","SCALING_FORMAT=MLN","Sort=A","Dates=H","DateFormat=P","Fill=—","Direction=H","UseDPDF=Y")</f>
        <v>-1037.3779999999999</v>
      </c>
      <c r="H89" s="13">
        <f>_xll.BDH("ALNY US Equity","NET_DEBT","FQ2 2020","FQ2 2020","Currency=USD","Period=FQ","BEST_FPERIOD_OVERRIDE=FQ","FILING_STATUS=MR","SCALING_FORMAT=MLN","Sort=A","Dates=H","DateFormat=P","Fill=—","Direction=H","UseDPDF=Y")</f>
        <v>-1610.499</v>
      </c>
      <c r="I89" s="13">
        <f>_xll.BDH("ALNY US Equity","NET_DEBT","FQ3 2020","FQ3 2020","Currency=USD","Period=FQ","BEST_FPERIOD_OVERRIDE=FQ","FILING_STATUS=MR","SCALING_FORMAT=MLN","Sort=A","Dates=H","DateFormat=P","Fill=—","Direction=H","UseDPDF=Y")</f>
        <v>-1504.422</v>
      </c>
      <c r="J89" s="13">
        <f>_xll.BDH("ALNY US Equity","NET_DEBT","FQ4 2020","FQ4 2020","Currency=USD","Period=FQ","BEST_FPERIOD_OVERRIDE=FQ","FILING_STATUS=MR","SCALING_FORMAT=MLN","Sort=A","Dates=H","DateFormat=P","Fill=—","Direction=H","UseDPDF=Y")</f>
        <v>-1353.2059999999999</v>
      </c>
      <c r="K89" s="13">
        <f>_xll.BDH("ALNY US Equity","NET_DEBT","FQ1 2021","FQ1 2021","Currency=USD","Period=FQ","BEST_FPERIOD_OVERRIDE=FQ","FILING_STATUS=MR","SCALING_FORMAT=MLN","Sort=A","Dates=H","DateFormat=P","Fill=—","Direction=H","UseDPDF=Y")</f>
        <v>-1191.0150000000001</v>
      </c>
      <c r="L89" s="13">
        <f>_xll.BDH("ALNY US Equity","NET_DEBT","FQ2 2021","FQ2 2021","Currency=USD","Period=FQ","BEST_FPERIOD_OVERRIDE=FQ","FILING_STATUS=MR","SCALING_FORMAT=MLN","Sort=A","Dates=H","DateFormat=P","Fill=—","Direction=H","UseDPDF=Y")</f>
        <v>-1139.01</v>
      </c>
      <c r="M89" s="13">
        <f>_xll.BDH("ALNY US Equity","NET_DEBT","FQ3 2021","FQ3 2021","Currency=USD","Period=FQ","BEST_FPERIOD_OVERRIDE=FQ","FILING_STATUS=MR","SCALING_FORMAT=MLN","Sort=A","Dates=H","DateFormat=P","Fill=—","Direction=H","UseDPDF=Y")</f>
        <v>-1567.424</v>
      </c>
      <c r="N89" s="13">
        <f>_xll.BDH("ALNY US Equity","NET_DEBT","FQ4 2021","FQ4 2021","Currency=USD","Period=FQ","BEST_FPERIOD_OVERRIDE=FQ","FILING_STATUS=MR","SCALING_FORMAT=MLN","Sort=A","Dates=H","DateFormat=P","Fill=—","Direction=H","UseDPDF=Y")</f>
        <v>-1437.972</v>
      </c>
      <c r="O89" s="13">
        <f>_xll.BDH("ALNY US Equity","NET_DEBT","FQ1 2022","FQ1 2022","Currency=USD","Period=FQ","BEST_FPERIOD_OVERRIDE=FQ","FILING_STATUS=MR","SCALING_FORMAT=MLN","Sort=A","Dates=H","DateFormat=P","Fill=—","Direction=H","UseDPDF=Y")</f>
        <v>-1244.175</v>
      </c>
      <c r="P89" s="13">
        <f>_xll.BDH("ALNY US Equity","NET_DEBT","FQ2 2022","FQ2 2022","Currency=USD","Period=FQ","BEST_FPERIOD_OVERRIDE=FQ","FILING_STATUS=MR","SCALING_FORMAT=MLN","Sort=A","Dates=H","DateFormat=P","Fill=—","Direction=H","UseDPDF=Y")</f>
        <v>-1119.6379999999999</v>
      </c>
      <c r="Q89" s="13">
        <f>_xll.BDH("ALNY US Equity","NET_DEBT","FQ3 2022","FQ3 2022","Currency=USD","Period=FQ","BEST_FPERIOD_OVERRIDE=FQ","FILING_STATUS=MR","SCALING_FORMAT=MLN","Sort=A","Dates=H","DateFormat=P","Fill=—","Direction=H","UseDPDF=Y")</f>
        <v>-725.55200000000002</v>
      </c>
      <c r="R89" s="13">
        <f>_xll.BDH("ALNY US Equity","NET_DEBT","FQ4 2022","FQ4 2022","Currency=USD","Period=FQ","BEST_FPERIOD_OVERRIDE=FQ","FILING_STATUS=MR","SCALING_FORMAT=MLN","Sort=A","Dates=H","DateFormat=P","Fill=—","Direction=H","UseDPDF=Y")</f>
        <v>-872.15800000000002</v>
      </c>
      <c r="S89" s="13">
        <f>_xll.BDH("ALNY US Equity","NET_DEBT","FQ1 2023","FQ1 2023","Currency=USD","Period=FQ","BEST_FPERIOD_OVERRIDE=FQ","FILING_STATUS=MR","SCALING_FORMAT=MLN","Sort=A","Dates=H","DateFormat=P","Fill=—","Direction=H","UseDPDF=Y")</f>
        <v>-750.33399999999995</v>
      </c>
      <c r="T89" s="13">
        <f>_xll.BDH("ALNY US Equity","NET_DEBT","FQ2 2023","FQ2 2023","Currency=USD","Period=FQ","BEST_FPERIOD_OVERRIDE=FQ","FILING_STATUS=MR","SCALING_FORMAT=MLN","Sort=A","Dates=H","DateFormat=P","Fill=—","Direction=H","UseDPDF=Y")</f>
        <v>-743.17399999999998</v>
      </c>
      <c r="U89" s="13">
        <f>_xll.BDH("ALNY US Equity","NET_DEBT","FQ3 2023","FQ3 2023","Currency=USD","Period=FQ","BEST_FPERIOD_OVERRIDE=FQ","FILING_STATUS=MR","SCALING_FORMAT=MLN","Sort=A","Dates=H","DateFormat=P","Fill=—","Direction=H","UseDPDF=Y")</f>
        <v>-1097.242</v>
      </c>
      <c r="V89" s="13">
        <f>_xll.BDH("ALNY US Equity","NET_DEBT","FQ4 2023","FQ4 2023","Currency=USD","Period=FQ","BEST_FPERIOD_OVERRIDE=FQ","FILING_STATUS=MR","SCALING_FORMAT=MLN","Sort=A","Dates=H","DateFormat=P","Fill=—","Direction=H","UseDPDF=Y")</f>
        <v>-1133.9949999999999</v>
      </c>
      <c r="W89" s="13">
        <f>_xll.BDH("ALNY US Equity","NET_DEBT","FQ1 2024","FQ1 2024","Currency=USD","Period=FQ","BEST_FPERIOD_OVERRIDE=FQ","FILING_STATUS=MR","SCALING_FORMAT=MLN","Sort=A","Dates=H","DateFormat=P","Fill=—","Direction=H","UseDPDF=Y")</f>
        <v>-1070.049</v>
      </c>
      <c r="X89" s="13">
        <f>_xll.BDH("ALNY US Equity","NET_DEBT","FQ2 2024","FQ2 2024","Currency=USD","Period=FQ","BEST_FPERIOD_OVERRIDE=FQ","FILING_STATUS=MR","SCALING_FORMAT=MLN","Sort=A","Dates=H","DateFormat=P","Fill=—","Direction=H","UseDPDF=Y")</f>
        <v>21.626999999999999</v>
      </c>
      <c r="Y89" s="13">
        <f>_xll.BDH("ALNY US Equity","NET_DEBT","FQ3 2024","FQ3 2024","Currency=USD","Period=FQ","BEST_FPERIOD_OVERRIDE=FQ","FILING_STATUS=MR","SCALING_FORMAT=MLN","Sort=A","Dates=H","DateFormat=P","Fill=—","Direction=H","UseDPDF=Y")</f>
        <v>-1478.4069999999999</v>
      </c>
      <c r="Z89" s="13">
        <f>_xll.BDH("ALNY US Equity","NET_DEBT","FQ4 2024","FQ4 2024","Currency=USD","Period=FQ","BEST_FPERIOD_OVERRIDE=FQ","FILING_STATUS=MR","SCALING_FORMAT=MLN","Sort=A","Dates=H","DateFormat=P","Fill=—","Direction=H","UseDPDF=Y")</f>
        <v>-1398.4559999999999</v>
      </c>
    </row>
    <row r="90" spans="1:26" x14ac:dyDescent="0.25">
      <c r="A90" s="10" t="s">
        <v>328</v>
      </c>
      <c r="B90" s="10" t="s">
        <v>329</v>
      </c>
      <c r="C90" s="14">
        <f>_xll.BDH("ALNY US Equity","NET_DEBT_TO_SHRHLDR_EQTY","FQ1 2019","FQ1 2019","Currency=USD","Period=FQ","BEST_FPERIOD_OVERRIDE=FQ","FILING_STATUS=MR","Sort=A","Dates=H","DateFormat=P","Fill=—","Direction=H","UseDPDF=Y")</f>
        <v>-59.164099999999998</v>
      </c>
      <c r="D90" s="14">
        <f>_xll.BDH("ALNY US Equity","NET_DEBT_TO_SHRHLDR_EQTY","FQ2 2019","FQ2 2019","Currency=USD","Period=FQ","BEST_FPERIOD_OVERRIDE=FQ","FILING_STATUS=MR","Sort=A","Dates=H","DateFormat=P","Fill=—","Direction=H","UseDPDF=Y")</f>
        <v>-90.500699999999995</v>
      </c>
      <c r="E90" s="14">
        <f>_xll.BDH("ALNY US Equity","NET_DEBT_TO_SHRHLDR_EQTY","FQ3 2019","FQ3 2019","Currency=USD","Period=FQ","BEST_FPERIOD_OVERRIDE=FQ","FILING_STATUS=MR","Sort=A","Dates=H","DateFormat=P","Fill=—","Direction=H","UseDPDF=Y")</f>
        <v>-88.136899999999997</v>
      </c>
      <c r="F90" s="14">
        <f>_xll.BDH("ALNY US Equity","NET_DEBT_TO_SHRHLDR_EQTY","FQ4 2019","FQ4 2019","Currency=USD","Period=FQ","BEST_FPERIOD_OVERRIDE=FQ","FILING_STATUS=MR","Sort=A","Dates=H","DateFormat=P","Fill=—","Direction=H","UseDPDF=Y")</f>
        <v>-85.656899999999993</v>
      </c>
      <c r="G90" s="14">
        <f>_xll.BDH("ALNY US Equity","NET_DEBT_TO_SHRHLDR_EQTY","FQ1 2020","FQ1 2020","Currency=USD","Period=FQ","BEST_FPERIOD_OVERRIDE=FQ","FILING_STATUS=MR","Sort=A","Dates=H","DateFormat=P","Fill=—","Direction=H","UseDPDF=Y")</f>
        <v>-76.858199999999997</v>
      </c>
      <c r="H90" s="14">
        <f>_xll.BDH("ALNY US Equity","NET_DEBT_TO_SHRHLDR_EQTY","FQ2 2020","FQ2 2020","Currency=USD","Period=FQ","BEST_FPERIOD_OVERRIDE=FQ","FILING_STATUS=MR","Sort=A","Dates=H","DateFormat=P","Fill=—","Direction=H","UseDPDF=Y")</f>
        <v>-115.0582</v>
      </c>
      <c r="I90" s="14">
        <f>_xll.BDH("ALNY US Equity","NET_DEBT_TO_SHRHLDR_EQTY","FQ3 2020","FQ3 2020","Currency=USD","Period=FQ","BEST_FPERIOD_OVERRIDE=FQ","FILING_STATUS=MR","Sort=A","Dates=H","DateFormat=P","Fill=—","Direction=H","UseDPDF=Y")</f>
        <v>-123.8184</v>
      </c>
      <c r="J90" s="14">
        <f>_xll.BDH("ALNY US Equity","NET_DEBT_TO_SHRHLDR_EQTY","FQ4 2020","FQ4 2020","Currency=USD","Period=FQ","BEST_FPERIOD_OVERRIDE=FQ","FILING_STATUS=MR","Sort=A","Dates=H","DateFormat=P","Fill=—","Direction=H","UseDPDF=Y")</f>
        <v>-133.15719999999999</v>
      </c>
      <c r="K90" s="14">
        <f>_xll.BDH("ALNY US Equity","NET_DEBT_TO_SHRHLDR_EQTY","FQ1 2021","FQ1 2021","Currency=USD","Period=FQ","BEST_FPERIOD_OVERRIDE=FQ","FILING_STATUS=MR","Sort=A","Dates=H","DateFormat=P","Fill=—","Direction=H","UseDPDF=Y")</f>
        <v>-128.59289999999999</v>
      </c>
      <c r="L90" s="14">
        <f>_xll.BDH("ALNY US Equity","NET_DEBT_TO_SHRHLDR_EQTY","FQ2 2021","FQ2 2021","Currency=USD","Period=FQ","BEST_FPERIOD_OVERRIDE=FQ","FILING_STATUS=MR","Sort=A","Dates=H","DateFormat=P","Fill=—","Direction=H","UseDPDF=Y")</f>
        <v>-133.47329999999999</v>
      </c>
      <c r="M90" s="14">
        <f>_xll.BDH("ALNY US Equity","NET_DEBT_TO_SHRHLDR_EQTY","FQ3 2021","FQ3 2021","Currency=USD","Period=FQ","BEST_FPERIOD_OVERRIDE=FQ","FILING_STATUS=MR","Sort=A","Dates=H","DateFormat=P","Fill=—","Direction=H","UseDPDF=Y")</f>
        <v>-207.36060000000001</v>
      </c>
      <c r="N90" s="14">
        <f>_xll.BDH("ALNY US Equity","NET_DEBT_TO_SHRHLDR_EQTY","FQ4 2021","FQ4 2021","Currency=USD","Period=FQ","BEST_FPERIOD_OVERRIDE=FQ","FILING_STATUS=MR","Sort=A","Dates=H","DateFormat=P","Fill=—","Direction=H","UseDPDF=Y")</f>
        <v>-244.46870000000001</v>
      </c>
      <c r="O90" s="14">
        <f>_xll.BDH("ALNY US Equity","NET_DEBT_TO_SHRHLDR_EQTY","FQ1 2022","FQ1 2022","Currency=USD","Period=FQ","BEST_FPERIOD_OVERRIDE=FQ","FILING_STATUS=MR","Sort=A","Dates=H","DateFormat=P","Fill=—","Direction=H","UseDPDF=Y")</f>
        <v>-310.1397</v>
      </c>
      <c r="P90" s="14">
        <f>_xll.BDH("ALNY US Equity","NET_DEBT_TO_SHRHLDR_EQTY","FQ2 2022","FQ2 2022","Currency=USD","Period=FQ","BEST_FPERIOD_OVERRIDE=FQ","FILING_STATUS=MR","Sort=A","Dates=H","DateFormat=P","Fill=—","Direction=H","UseDPDF=Y")</f>
        <v>-636.01340000000005</v>
      </c>
      <c r="Q90" s="14" t="str">
        <f>_xll.BDH("ALNY US Equity","NET_DEBT_TO_SHRHLDR_EQTY","FQ3 2022","FQ3 2022","Currency=USD","Period=FQ","BEST_FPERIOD_OVERRIDE=FQ","FILING_STATUS=MR","Sort=A","Dates=H","DateFormat=P","Fill=—","Direction=H","UseDPDF=Y")</f>
        <v>—</v>
      </c>
      <c r="R90" s="14" t="str">
        <f>_xll.BDH("ALNY US Equity","NET_DEBT_TO_SHRHLDR_EQTY","FQ4 2022","FQ4 2022","Currency=USD","Period=FQ","BEST_FPERIOD_OVERRIDE=FQ","FILING_STATUS=MR","Sort=A","Dates=H","DateFormat=P","Fill=—","Direction=H","UseDPDF=Y")</f>
        <v>—</v>
      </c>
      <c r="S90" s="14" t="str">
        <f>_xll.BDH("ALNY US Equity","NET_DEBT_TO_SHRHLDR_EQTY","FQ1 2023","FQ1 2023","Currency=USD","Period=FQ","BEST_FPERIOD_OVERRIDE=FQ","FILING_STATUS=MR","Sort=A","Dates=H","DateFormat=P","Fill=—","Direction=H","UseDPDF=Y")</f>
        <v>—</v>
      </c>
      <c r="T90" s="14" t="str">
        <f>_xll.BDH("ALNY US Equity","NET_DEBT_TO_SHRHLDR_EQTY","FQ2 2023","FQ2 2023","Currency=USD","Period=FQ","BEST_FPERIOD_OVERRIDE=FQ","FILING_STATUS=MR","Sort=A","Dates=H","DateFormat=P","Fill=—","Direction=H","UseDPDF=Y")</f>
        <v>—</v>
      </c>
      <c r="U90" s="14" t="str">
        <f>_xll.BDH("ALNY US Equity","NET_DEBT_TO_SHRHLDR_EQTY","FQ3 2023","FQ3 2023","Currency=USD","Period=FQ","BEST_FPERIOD_OVERRIDE=FQ","FILING_STATUS=MR","Sort=A","Dates=H","DateFormat=P","Fill=—","Direction=H","UseDPDF=Y")</f>
        <v>—</v>
      </c>
      <c r="V90" s="14" t="str">
        <f>_xll.BDH("ALNY US Equity","NET_DEBT_TO_SHRHLDR_EQTY","FQ4 2023","FQ4 2023","Currency=USD","Period=FQ","BEST_FPERIOD_OVERRIDE=FQ","FILING_STATUS=MR","Sort=A","Dates=H","DateFormat=P","Fill=—","Direction=H","UseDPDF=Y")</f>
        <v>—</v>
      </c>
      <c r="W90" s="14" t="str">
        <f>_xll.BDH("ALNY US Equity","NET_DEBT_TO_SHRHLDR_EQTY","FQ1 2024","FQ1 2024","Currency=USD","Period=FQ","BEST_FPERIOD_OVERRIDE=FQ","FILING_STATUS=MR","Sort=A","Dates=H","DateFormat=P","Fill=—","Direction=H","UseDPDF=Y")</f>
        <v>—</v>
      </c>
      <c r="X90" s="14" t="str">
        <f>_xll.BDH("ALNY US Equity","NET_DEBT_TO_SHRHLDR_EQTY","FQ2 2024","FQ2 2024","Currency=USD","Period=FQ","BEST_FPERIOD_OVERRIDE=FQ","FILING_STATUS=MR","Sort=A","Dates=H","DateFormat=P","Fill=—","Direction=H","UseDPDF=Y")</f>
        <v>—</v>
      </c>
      <c r="Y90" s="14">
        <f>_xll.BDH("ALNY US Equity","NET_DEBT_TO_SHRHLDR_EQTY","FQ3 2024","FQ3 2024","Currency=USD","Period=FQ","BEST_FPERIOD_OVERRIDE=FQ","FILING_STATUS=MR","Sort=A","Dates=H","DateFormat=P","Fill=—","Direction=H","UseDPDF=Y")</f>
        <v>-4569.4721</v>
      </c>
      <c r="Z90" s="14">
        <f>_xll.BDH("ALNY US Equity","NET_DEBT_TO_SHRHLDR_EQTY","FQ4 2024","FQ4 2024","Currency=USD","Period=FQ","BEST_FPERIOD_OVERRIDE=FQ","FILING_STATUS=MR","Sort=A","Dates=H","DateFormat=P","Fill=—","Direction=H","UseDPDF=Y")</f>
        <v>-2084.5099</v>
      </c>
    </row>
    <row r="91" spans="1:26" x14ac:dyDescent="0.25">
      <c r="A91" s="10" t="s">
        <v>330</v>
      </c>
      <c r="B91" s="10" t="s">
        <v>331</v>
      </c>
      <c r="C91" s="14" t="str">
        <f>_xll.BDH("ALNY US Equity","TCE_RATIO","FQ1 2019","FQ1 2019","Currency=USD","Period=FQ","BEST_FPERIOD_OVERRIDE=FQ","FILING_STATUS=MR","Sort=A","Dates=H","DateFormat=P","Fill=—","Direction=H","UseDPDF=Y")</f>
        <v>—</v>
      </c>
      <c r="D91" s="14">
        <f>_xll.BDH("ALNY US Equity","TCE_RATIO","FQ2 2019","FQ2 2019","Currency=USD","Period=FQ","BEST_FPERIOD_OVERRIDE=FQ","FILING_STATUS=MR","Sort=A","Dates=H","DateFormat=P","Fill=—","Direction=H","UseDPDF=Y")</f>
        <v>64.688100000000006</v>
      </c>
      <c r="E91" s="14">
        <f>_xll.BDH("ALNY US Equity","TCE_RATIO","FQ3 2019","FQ3 2019","Currency=USD","Period=FQ","BEST_FPERIOD_OVERRIDE=FQ","FILING_STATUS=MR","Sort=A","Dates=H","DateFormat=P","Fill=—","Direction=H","UseDPDF=Y")</f>
        <v>63.230800000000002</v>
      </c>
      <c r="F91" s="14">
        <f>_xll.BDH("ALNY US Equity","TCE_RATIO","FQ4 2019","FQ4 2019","Currency=USD","Period=FQ","BEST_FPERIOD_OVERRIDE=FQ","FILING_STATUS=MR","Sort=A","Dates=H","DateFormat=P","Fill=—","Direction=H","UseDPDF=Y")</f>
        <v>60.067300000000003</v>
      </c>
      <c r="G91" s="14">
        <f>_xll.BDH("ALNY US Equity","TCE_RATIO","FQ1 2020","FQ1 2020","Currency=USD","Period=FQ","BEST_FPERIOD_OVERRIDE=FQ","FILING_STATUS=MR","Sort=A","Dates=H","DateFormat=P","Fill=—","Direction=H","UseDPDF=Y")</f>
        <v>59.208399999999997</v>
      </c>
      <c r="H91" s="14">
        <f>_xll.BDH("ALNY US Equity","TCE_RATIO","FQ2 2020","FQ2 2020","Currency=USD","Period=FQ","BEST_FPERIOD_OVERRIDE=FQ","FILING_STATUS=MR","Sort=A","Dates=H","DateFormat=P","Fill=—","Direction=H","UseDPDF=Y")</f>
        <v>41.481099999999998</v>
      </c>
      <c r="I91" s="14">
        <f>_xll.BDH("ALNY US Equity","TCE_RATIO","FQ3 2020","FQ3 2020","Currency=USD","Period=FQ","BEST_FPERIOD_OVERRIDE=FQ","FILING_STATUS=MR","Sort=A","Dates=H","DateFormat=P","Fill=—","Direction=H","UseDPDF=Y")</f>
        <v>36.7378</v>
      </c>
      <c r="J91" s="14">
        <f>_xll.BDH("ALNY US Equity","TCE_RATIO","FQ4 2020","FQ4 2020","Currency=USD","Period=FQ","BEST_FPERIOD_OVERRIDE=FQ","FILING_STATUS=MR","Sort=A","Dates=H","DateFormat=P","Fill=—","Direction=H","UseDPDF=Y")</f>
        <v>29.8277</v>
      </c>
      <c r="K91" s="14">
        <f>_xll.BDH("ALNY US Equity","TCE_RATIO","FQ1 2021","FQ1 2021","Currency=USD","Period=FQ","BEST_FPERIOD_OVERRIDE=FQ","FILING_STATUS=MR","Sort=A","Dates=H","DateFormat=P","Fill=—","Direction=H","UseDPDF=Y")</f>
        <v>28.452000000000002</v>
      </c>
      <c r="L91" s="14">
        <f>_xll.BDH("ALNY US Equity","TCE_RATIO","FQ2 2021","FQ2 2021","Currency=USD","Period=FQ","BEST_FPERIOD_OVERRIDE=FQ","FILING_STATUS=MR","Sort=A","Dates=H","DateFormat=P","Fill=—","Direction=H","UseDPDF=Y")</f>
        <v>24.316299999999998</v>
      </c>
      <c r="M91" s="14">
        <f>_xll.BDH("ALNY US Equity","TCE_RATIO","FQ3 2021","FQ3 2021","Currency=USD","Period=FQ","BEST_FPERIOD_OVERRIDE=FQ","FILING_STATUS=MR","Sort=A","Dates=H","DateFormat=P","Fill=—","Direction=H","UseDPDF=Y")</f>
        <v>21.769100000000002</v>
      </c>
      <c r="N91" s="14">
        <f>_xll.BDH("ALNY US Equity","TCE_RATIO","FQ4 2021","FQ4 2021","Currency=USD","Period=FQ","BEST_FPERIOD_OVERRIDE=FQ","FILING_STATUS=MR","Sort=A","Dates=H","DateFormat=P","Fill=—","Direction=H","UseDPDF=Y")</f>
        <v>16.1448</v>
      </c>
      <c r="O91" s="14">
        <f>_xll.BDH("ALNY US Equity","TCE_RATIO","FQ1 2022","FQ1 2022","Currency=USD","Period=FQ","BEST_FPERIOD_OVERRIDE=FQ","FILING_STATUS=MR","Sort=A","Dates=H","DateFormat=P","Fill=—","Direction=H","UseDPDF=Y")</f>
        <v>11.6837</v>
      </c>
      <c r="P91" s="14">
        <f>_xll.BDH("ALNY US Equity","TCE_RATIO","FQ2 2022","FQ2 2022","Currency=USD","Period=FQ","BEST_FPERIOD_OVERRIDE=FQ","FILING_STATUS=MR","Sort=A","Dates=H","DateFormat=P","Fill=—","Direction=H","UseDPDF=Y")</f>
        <v>5.2858000000000001</v>
      </c>
      <c r="Q91" s="14">
        <f>_xll.BDH("ALNY US Equity","TCE_RATIO","FQ3 2022","FQ3 2022","Currency=USD","Period=FQ","BEST_FPERIOD_OVERRIDE=FQ","FILING_STATUS=MR","Sort=A","Dates=H","DateFormat=P","Fill=—","Direction=H","UseDPDF=Y")</f>
        <v>-1.9132</v>
      </c>
      <c r="R91" s="14">
        <f>_xll.BDH("ALNY US Equity","TCE_RATIO","FQ4 2022","FQ4 2022","Currency=USD","Period=FQ","BEST_FPERIOD_OVERRIDE=FQ","FILING_STATUS=MR","Sort=A","Dates=H","DateFormat=P","Fill=—","Direction=H","UseDPDF=Y")</f>
        <v>-4.4615999999999998</v>
      </c>
      <c r="S91" s="14">
        <f>_xll.BDH("ALNY US Equity","TCE_RATIO","FQ1 2023","FQ1 2023","Currency=USD","Period=FQ","BEST_FPERIOD_OVERRIDE=FQ","FILING_STATUS=MR","Sort=A","Dates=H","DateFormat=P","Fill=—","Direction=H","UseDPDF=Y")</f>
        <v>-7.6428000000000003</v>
      </c>
      <c r="T91" s="14">
        <f>_xll.BDH("ALNY US Equity","TCE_RATIO","FQ2 2023","FQ2 2023","Currency=USD","Period=FQ","BEST_FPERIOD_OVERRIDE=FQ","FILING_STATUS=MR","Sort=A","Dates=H","DateFormat=P","Fill=—","Direction=H","UseDPDF=Y")</f>
        <v>-11.9954</v>
      </c>
      <c r="U91" s="14">
        <f>_xll.BDH("ALNY US Equity","TCE_RATIO","FQ3 2023","FQ3 2023","Currency=USD","Period=FQ","BEST_FPERIOD_OVERRIDE=FQ","FILING_STATUS=MR","Sort=A","Dates=H","DateFormat=P","Fill=—","Direction=H","UseDPDF=Y")</f>
        <v>-4.3205</v>
      </c>
      <c r="V91" s="14">
        <f>_xll.BDH("ALNY US Equity","TCE_RATIO","FQ4 2023","FQ4 2023","Currency=USD","Period=FQ","BEST_FPERIOD_OVERRIDE=FQ","FILING_STATUS=MR","Sort=A","Dates=H","DateFormat=P","Fill=—","Direction=H","UseDPDF=Y")</f>
        <v>-5.7610999999999999</v>
      </c>
      <c r="W91" s="14">
        <f>_xll.BDH("ALNY US Equity","TCE_RATIO","FQ1 2024","FQ1 2024","Currency=USD","Period=FQ","BEST_FPERIOD_OVERRIDE=FQ","FILING_STATUS=MR","Sort=A","Dates=H","DateFormat=P","Fill=—","Direction=H","UseDPDF=Y")</f>
        <v>-5.7335000000000003</v>
      </c>
      <c r="X91" s="14">
        <f>_xll.BDH("ALNY US Equity","TCE_RATIO","FQ2 2024","FQ2 2024","Currency=USD","Period=FQ","BEST_FPERIOD_OVERRIDE=FQ","FILING_STATUS=MR","Sort=A","Dates=H","DateFormat=P","Fill=—","Direction=H","UseDPDF=Y")</f>
        <v>-7.6499999999999999E-2</v>
      </c>
      <c r="Y91" s="14">
        <f>_xll.BDH("ALNY US Equity","TCE_RATIO","FQ3 2024","FQ3 2024","Currency=USD","Period=FQ","BEST_FPERIOD_OVERRIDE=FQ","FILING_STATUS=MR","Sort=A","Dates=H","DateFormat=P","Fill=—","Direction=H","UseDPDF=Y")</f>
        <v>0.76939999999999997</v>
      </c>
      <c r="Z91" s="14">
        <f>_xll.BDH("ALNY US Equity","TCE_RATIO","FQ4 2024","FQ4 2024","Currency=USD","Period=FQ","BEST_FPERIOD_OVERRIDE=FQ","FILING_STATUS=MR","Sort=A","Dates=H","DateFormat=P","Fill=—","Direction=H","UseDPDF=Y")</f>
        <v>1.5823</v>
      </c>
    </row>
    <row r="92" spans="1:26" x14ac:dyDescent="0.25">
      <c r="A92" s="10" t="s">
        <v>332</v>
      </c>
      <c r="B92" s="10" t="s">
        <v>333</v>
      </c>
      <c r="C92" s="14">
        <f>_xll.BDH("ALNY US Equity","CUR_RATIO","FQ1 2019","FQ1 2019","Currency=USD","Period=FQ","BEST_FPERIOD_OVERRIDE=FQ","FILING_STATUS=MR","Sort=A","Dates=H","DateFormat=P","Fill=—","Direction=H","UseDPDF=Y")</f>
        <v>9.3322000000000003</v>
      </c>
      <c r="D92" s="14">
        <f>_xll.BDH("ALNY US Equity","CUR_RATIO","FQ2 2019","FQ2 2019","Currency=USD","Period=FQ","BEST_FPERIOD_OVERRIDE=FQ","FILING_STATUS=MR","Sort=A","Dates=H","DateFormat=P","Fill=—","Direction=H","UseDPDF=Y")</f>
        <v>6.2804000000000002</v>
      </c>
      <c r="E92" s="14">
        <f>_xll.BDH("ALNY US Equity","CUR_RATIO","FQ3 2019","FQ3 2019","Currency=USD","Period=FQ","BEST_FPERIOD_OVERRIDE=FQ","FILING_STATUS=MR","Sort=A","Dates=H","DateFormat=P","Fill=—","Direction=H","UseDPDF=Y")</f>
        <v>5.3768000000000002</v>
      </c>
      <c r="F92" s="14">
        <f>_xll.BDH("ALNY US Equity","CUR_RATIO","FQ4 2019","FQ4 2019","Currency=USD","Period=FQ","BEST_FPERIOD_OVERRIDE=FQ","FILING_STATUS=MR","Sort=A","Dates=H","DateFormat=P","Fill=—","Direction=H","UseDPDF=Y")</f>
        <v>4.8663999999999996</v>
      </c>
      <c r="G92" s="14">
        <f>_xll.BDH("ALNY US Equity","CUR_RATIO","FQ1 2020","FQ1 2020","Currency=USD","Period=FQ","BEST_FPERIOD_OVERRIDE=FQ","FILING_STATUS=MR","Sort=A","Dates=H","DateFormat=P","Fill=—","Direction=H","UseDPDF=Y")</f>
        <v>4.6776999999999997</v>
      </c>
      <c r="H92" s="14">
        <f>_xll.BDH("ALNY US Equity","CUR_RATIO","FQ2 2020","FQ2 2020","Currency=USD","Period=FQ","BEST_FPERIOD_OVERRIDE=FQ","FILING_STATUS=MR","Sort=A","Dates=H","DateFormat=P","Fill=—","Direction=H","UseDPDF=Y")</f>
        <v>5.6216999999999997</v>
      </c>
      <c r="I92" s="14">
        <f>_xll.BDH("ALNY US Equity","CUR_RATIO","FQ3 2020","FQ3 2020","Currency=USD","Period=FQ","BEST_FPERIOD_OVERRIDE=FQ","FILING_STATUS=MR","Sort=A","Dates=H","DateFormat=P","Fill=—","Direction=H","UseDPDF=Y")</f>
        <v>5.3196000000000003</v>
      </c>
      <c r="J92" s="14">
        <f>_xll.BDH("ALNY US Equity","CUR_RATIO","FQ4 2020","FQ4 2020","Currency=USD","Period=FQ","BEST_FPERIOD_OVERRIDE=FQ","FILING_STATUS=MR","Sort=A","Dates=H","DateFormat=P","Fill=—","Direction=H","UseDPDF=Y")</f>
        <v>4.4676</v>
      </c>
      <c r="K92" s="14">
        <f>_xll.BDH("ALNY US Equity","CUR_RATIO","FQ1 2021","FQ1 2021","Currency=USD","Period=FQ","BEST_FPERIOD_OVERRIDE=FQ","FILING_STATUS=MR","Sort=A","Dates=H","DateFormat=P","Fill=—","Direction=H","UseDPDF=Y")</f>
        <v>4.9917999999999996</v>
      </c>
      <c r="L92" s="14">
        <f>_xll.BDH("ALNY US Equity","CUR_RATIO","FQ2 2021","FQ2 2021","Currency=USD","Period=FQ","BEST_FPERIOD_OVERRIDE=FQ","FILING_STATUS=MR","Sort=A","Dates=H","DateFormat=P","Fill=—","Direction=H","UseDPDF=Y")</f>
        <v>4.9132999999999996</v>
      </c>
      <c r="M92" s="14">
        <f>_xll.BDH("ALNY US Equity","CUR_RATIO","FQ3 2021","FQ3 2021","Currency=USD","Period=FQ","BEST_FPERIOD_OVERRIDE=FQ","FILING_STATUS=MR","Sort=A","Dates=H","DateFormat=P","Fill=—","Direction=H","UseDPDF=Y")</f>
        <v>4.3811</v>
      </c>
      <c r="N92" s="14">
        <f>_xll.BDH("ALNY US Equity","CUR_RATIO","FQ4 2021","FQ4 2021","Currency=USD","Period=FQ","BEST_FPERIOD_OVERRIDE=FQ","FILING_STATUS=MR","Sort=A","Dates=H","DateFormat=P","Fill=—","Direction=H","UseDPDF=Y")</f>
        <v>4.0369999999999999</v>
      </c>
      <c r="O92" s="14">
        <f>_xll.BDH("ALNY US Equity","CUR_RATIO","FQ1 2022","FQ1 2022","Currency=USD","Period=FQ","BEST_FPERIOD_OVERRIDE=FQ","FILING_STATUS=MR","Sort=A","Dates=H","DateFormat=P","Fill=—","Direction=H","UseDPDF=Y")</f>
        <v>4.2736999999999998</v>
      </c>
      <c r="P92" s="14">
        <f>_xll.BDH("ALNY US Equity","CUR_RATIO","FQ2 2022","FQ2 2022","Currency=USD","Period=FQ","BEST_FPERIOD_OVERRIDE=FQ","FILING_STATUS=MR","Sort=A","Dates=H","DateFormat=P","Fill=—","Direction=H","UseDPDF=Y")</f>
        <v>3.7581000000000002</v>
      </c>
      <c r="Q92" s="14">
        <f>_xll.BDH("ALNY US Equity","CUR_RATIO","FQ3 2022","FQ3 2022","Currency=USD","Period=FQ","BEST_FPERIOD_OVERRIDE=FQ","FILING_STATUS=MR","Sort=A","Dates=H","DateFormat=P","Fill=—","Direction=H","UseDPDF=Y")</f>
        <v>3.4820000000000002</v>
      </c>
      <c r="R92" s="14">
        <f>_xll.BDH("ALNY US Equity","CUR_RATIO","FQ4 2022","FQ4 2022","Currency=USD","Period=FQ","BEST_FPERIOD_OVERRIDE=FQ","FILING_STATUS=MR","Sort=A","Dates=H","DateFormat=P","Fill=—","Direction=H","UseDPDF=Y")</f>
        <v>3.5059</v>
      </c>
      <c r="S92" s="14">
        <f>_xll.BDH("ALNY US Equity","CUR_RATIO","FQ1 2023","FQ1 2023","Currency=USD","Period=FQ","BEST_FPERIOD_OVERRIDE=FQ","FILING_STATUS=MR","Sort=A","Dates=H","DateFormat=P","Fill=—","Direction=H","UseDPDF=Y")</f>
        <v>3.7734999999999999</v>
      </c>
      <c r="T92" s="14">
        <f>_xll.BDH("ALNY US Equity","CUR_RATIO","FQ2 2023","FQ2 2023","Currency=USD","Period=FQ","BEST_FPERIOD_OVERRIDE=FQ","FILING_STATUS=MR","Sort=A","Dates=H","DateFormat=P","Fill=—","Direction=H","UseDPDF=Y")</f>
        <v>3.2004999999999999</v>
      </c>
      <c r="U92" s="14">
        <f>_xll.BDH("ALNY US Equity","CUR_RATIO","FQ3 2023","FQ3 2023","Currency=USD","Period=FQ","BEST_FPERIOD_OVERRIDE=FQ","FILING_STATUS=MR","Sort=A","Dates=H","DateFormat=P","Fill=—","Direction=H","UseDPDF=Y")</f>
        <v>3.1433</v>
      </c>
      <c r="V92" s="14">
        <f>_xll.BDH("ALNY US Equity","CUR_RATIO","FQ4 2023","FQ4 2023","Currency=USD","Period=FQ","BEST_FPERIOD_OVERRIDE=FQ","FILING_STATUS=MR","Sort=A","Dates=H","DateFormat=P","Fill=—","Direction=H","UseDPDF=Y")</f>
        <v>3.0819999999999999</v>
      </c>
      <c r="W92" s="14">
        <f>_xll.BDH("ALNY US Equity","CUR_RATIO","FQ1 2024","FQ1 2024","Currency=USD","Period=FQ","BEST_FPERIOD_OVERRIDE=FQ","FILING_STATUS=MR","Sort=A","Dates=H","DateFormat=P","Fill=—","Direction=H","UseDPDF=Y")</f>
        <v>3.1736</v>
      </c>
      <c r="X92" s="14">
        <f>_xll.BDH("ALNY US Equity","CUR_RATIO","FQ2 2024","FQ2 2024","Currency=USD","Period=FQ","BEST_FPERIOD_OVERRIDE=FQ","FILING_STATUS=MR","Sort=A","Dates=H","DateFormat=P","Fill=—","Direction=H","UseDPDF=Y")</f>
        <v>3.0066999999999999</v>
      </c>
      <c r="Y92" s="14">
        <f>_xll.BDH("ALNY US Equity","CUR_RATIO","FQ3 2024","FQ3 2024","Currency=USD","Period=FQ","BEST_FPERIOD_OVERRIDE=FQ","FILING_STATUS=MR","Sort=A","Dates=H","DateFormat=P","Fill=—","Direction=H","UseDPDF=Y")</f>
        <v>2.7488999999999999</v>
      </c>
      <c r="Z92" s="14">
        <f>_xll.BDH("ALNY US Equity","CUR_RATIO","FQ4 2024","FQ4 2024","Currency=USD","Period=FQ","BEST_FPERIOD_OVERRIDE=FQ","FILING_STATUS=MR","Sort=A","Dates=H","DateFormat=P","Fill=—","Direction=H","UseDPDF=Y")</f>
        <v>2.7778</v>
      </c>
    </row>
    <row r="93" spans="1:26" x14ac:dyDescent="0.25">
      <c r="A93" s="10" t="s">
        <v>334</v>
      </c>
      <c r="B93" s="10" t="s">
        <v>335</v>
      </c>
      <c r="C93" s="14">
        <f>_xll.BDH("ALNY US Equity","CASH_CONVERSION_CYCLE","FQ1 2019","FQ1 2019","Currency=USD","Period=FQ","BEST_FPERIOD_OVERRIDE=FQ","FILING_STATUS=MR","FA_ADJUSTED=GAAP","Sort=A","Dates=H","DateFormat=P","Fill=—","Direction=H","UseDPDF=Y")</f>
        <v>1029.4668999999999</v>
      </c>
      <c r="D93" s="14">
        <f>_xll.BDH("ALNY US Equity","CASH_CONVERSION_CYCLE","FQ2 2019","FQ2 2019","Currency=USD","Period=FQ","BEST_FPERIOD_OVERRIDE=FQ","FILING_STATUS=MR","FA_ADJUSTED=GAAP","Sort=A","Dates=H","DateFormat=P","Fill=—","Direction=H","UseDPDF=Y")</f>
        <v>533.92290000000003</v>
      </c>
      <c r="E93" s="14">
        <f>_xll.BDH("ALNY US Equity","CASH_CONVERSION_CYCLE","FQ3 2019","FQ3 2019","Currency=USD","Period=FQ","BEST_FPERIOD_OVERRIDE=FQ","FILING_STATUS=MR","FA_ADJUSTED=GAAP","Sort=A","Dates=H","DateFormat=P","Fill=—","Direction=H","UseDPDF=Y")</f>
        <v>686.50009999999997</v>
      </c>
      <c r="F93" s="14">
        <f>_xll.BDH("ALNY US Equity","CASH_CONVERSION_CYCLE","FQ4 2019","FQ4 2019","Currency=USD","Period=FQ","BEST_FPERIOD_OVERRIDE=FQ","FILING_STATUS=MR","FA_ADJUSTED=GAAP","Sort=A","Dates=H","DateFormat=P","Fill=—","Direction=H","UseDPDF=Y")</f>
        <v>288.0908</v>
      </c>
      <c r="G93" s="14">
        <f>_xll.BDH("ALNY US Equity","CASH_CONVERSION_CYCLE","FQ1 2020","FQ1 2020","Currency=USD","Period=FQ","BEST_FPERIOD_OVERRIDE=FQ","FILING_STATUS=MR","FA_ADJUSTED=GAAP","Sort=A","Dates=H","DateFormat=P","Fill=—","Direction=H","UseDPDF=Y")</f>
        <v>432.11790000000002</v>
      </c>
      <c r="H93" s="14">
        <f>_xll.BDH("ALNY US Equity","CASH_CONVERSION_CYCLE","FQ2 2020","FQ2 2020","Currency=USD","Period=FQ","BEST_FPERIOD_OVERRIDE=FQ","FILING_STATUS=MR","FA_ADJUSTED=GAAP","Sort=A","Dates=H","DateFormat=P","Fill=—","Direction=H","UseDPDF=Y")</f>
        <v>275.85300000000001</v>
      </c>
      <c r="I93" s="14">
        <f>_xll.BDH("ALNY US Equity","CASH_CONVERSION_CYCLE","FQ3 2020","FQ3 2020","Currency=USD","Period=FQ","BEST_FPERIOD_OVERRIDE=FQ","FILING_STATUS=MR","FA_ADJUSTED=GAAP","Sort=A","Dates=H","DateFormat=P","Fill=—","Direction=H","UseDPDF=Y")</f>
        <v>234.25630000000001</v>
      </c>
      <c r="J93" s="14">
        <f>_xll.BDH("ALNY US Equity","CASH_CONVERSION_CYCLE","FQ4 2020","FQ4 2020","Currency=USD","Period=FQ","BEST_FPERIOD_OVERRIDE=FQ","FILING_STATUS=MR","FA_ADJUSTED=GAAP","Sort=A","Dates=H","DateFormat=P","Fill=—","Direction=H","UseDPDF=Y")</f>
        <v>170.0915</v>
      </c>
      <c r="K93" s="14">
        <f>_xll.BDH("ALNY US Equity","CASH_CONVERSION_CYCLE","FQ1 2021","FQ1 2021","Currency=USD","Period=FQ","BEST_FPERIOD_OVERRIDE=FQ","FILING_STATUS=MR","FA_ADJUSTED=GAAP","Sort=A","Dates=H","DateFormat=P","Fill=—","Direction=H","UseDPDF=Y")</f>
        <v>175.9915</v>
      </c>
      <c r="L93" s="14">
        <f>_xll.BDH("ALNY US Equity","CASH_CONVERSION_CYCLE","FQ2 2021","FQ2 2021","Currency=USD","Period=FQ","BEST_FPERIOD_OVERRIDE=FQ","FILING_STATUS=MR","FA_ADJUSTED=GAAP","Sort=A","Dates=H","DateFormat=P","Fill=—","Direction=H","UseDPDF=Y")</f>
        <v>195.9058</v>
      </c>
      <c r="M93" s="14">
        <f>_xll.BDH("ALNY US Equity","CASH_CONVERSION_CYCLE","FQ3 2021","FQ3 2021","Currency=USD","Period=FQ","BEST_FPERIOD_OVERRIDE=FQ","FILING_STATUS=MR","FA_ADJUSTED=GAAP","Sort=A","Dates=H","DateFormat=P","Fill=—","Direction=H","UseDPDF=Y")</f>
        <v>214.1045</v>
      </c>
      <c r="N93" s="14">
        <f>_xll.BDH("ALNY US Equity","CASH_CONVERSION_CYCLE","FQ4 2021","FQ4 2021","Currency=USD","Period=FQ","BEST_FPERIOD_OVERRIDE=FQ","FILING_STATUS=MR","FA_ADJUSTED=GAAP","Sort=A","Dates=H","DateFormat=P","Fill=—","Direction=H","UseDPDF=Y")</f>
        <v>124.211</v>
      </c>
      <c r="O93" s="14">
        <f>_xll.BDH("ALNY US Equity","CASH_CONVERSION_CYCLE","FQ1 2022","FQ1 2022","Currency=USD","Period=FQ","BEST_FPERIOD_OVERRIDE=FQ","FILING_STATUS=MR","FA_ADJUSTED=GAAP","Sort=A","Dates=H","DateFormat=P","Fill=—","Direction=H","UseDPDF=Y")</f>
        <v>125.0641</v>
      </c>
      <c r="P93" s="14">
        <f>_xll.BDH("ALNY US Equity","CASH_CONVERSION_CYCLE","FQ2 2022","FQ2 2022","Currency=USD","Period=FQ","BEST_FPERIOD_OVERRIDE=FQ","FILING_STATUS=MR","FA_ADJUSTED=GAAP","Sort=A","Dates=H","DateFormat=P","Fill=—","Direction=H","UseDPDF=Y")</f>
        <v>147.97559999999999</v>
      </c>
      <c r="Q93" s="14">
        <f>_xll.BDH("ALNY US Equity","CASH_CONVERSION_CYCLE","FQ3 2022","FQ3 2022","Currency=USD","Period=FQ","BEST_FPERIOD_OVERRIDE=FQ","FILING_STATUS=MR","FA_ADJUSTED=GAAP","Sort=A","Dates=H","DateFormat=P","Fill=—","Direction=H","UseDPDF=Y")</f>
        <v>227.59049999999999</v>
      </c>
      <c r="R93" s="14">
        <f>_xll.BDH("ALNY US Equity","CASH_CONVERSION_CYCLE","FQ4 2022","FQ4 2022","Currency=USD","Period=FQ","BEST_FPERIOD_OVERRIDE=FQ","FILING_STATUS=MR","FA_ADJUSTED=GAAP","Sort=A","Dates=H","DateFormat=P","Fill=—","Direction=H","UseDPDF=Y")</f>
        <v>161.51089999999999</v>
      </c>
      <c r="S93" s="14">
        <f>_xll.BDH("ALNY US Equity","CASH_CONVERSION_CYCLE","FQ1 2023","FQ1 2023","Currency=USD","Period=FQ","BEST_FPERIOD_OVERRIDE=FQ","FILING_STATUS=MR","FA_ADJUSTED=GAAP","Sort=A","Dates=H","DateFormat=P","Fill=—","Direction=H","UseDPDF=Y")</f>
        <v>175.6215</v>
      </c>
      <c r="T93" s="14">
        <f>_xll.BDH("ALNY US Equity","CASH_CONVERSION_CYCLE","FQ2 2023","FQ2 2023","Currency=USD","Period=FQ","BEST_FPERIOD_OVERRIDE=FQ","FILING_STATUS=MR","FA_ADJUSTED=GAAP","Sort=A","Dates=H","DateFormat=P","Fill=—","Direction=H","UseDPDF=Y")</f>
        <v>118.2792</v>
      </c>
      <c r="U93" s="14">
        <f>_xll.BDH("ALNY US Equity","CASH_CONVERSION_CYCLE","FQ3 2023","FQ3 2023","Currency=USD","Period=FQ","BEST_FPERIOD_OVERRIDE=FQ","FILING_STATUS=MR","FA_ADJUSTED=GAAP","Sort=A","Dates=H","DateFormat=P","Fill=—","Direction=H","UseDPDF=Y")</f>
        <v>112.249</v>
      </c>
      <c r="V93" s="14">
        <f>_xll.BDH("ALNY US Equity","CASH_CONVERSION_CYCLE","FQ4 2023","FQ4 2023","Currency=USD","Period=FQ","BEST_FPERIOD_OVERRIDE=FQ","FILING_STATUS=MR","FA_ADJUSTED=GAAP","Sort=A","Dates=H","DateFormat=P","Fill=—","Direction=H","UseDPDF=Y")</f>
        <v>81.102900000000005</v>
      </c>
      <c r="W93" s="14">
        <f>_xll.BDH("ALNY US Equity","CASH_CONVERSION_CYCLE","FQ1 2024","FQ1 2024","Currency=USD","Period=FQ","BEST_FPERIOD_OVERRIDE=FQ","FILING_STATUS=MR","FA_ADJUSTED=GAAP","Sort=A","Dates=H","DateFormat=P","Fill=—","Direction=H","UseDPDF=Y")</f>
        <v>87.381799999999998</v>
      </c>
      <c r="X93" s="14">
        <f>_xll.BDH("ALNY US Equity","CASH_CONVERSION_CYCLE","FQ2 2024","FQ2 2024","Currency=USD","Period=FQ","BEST_FPERIOD_OVERRIDE=FQ","FILING_STATUS=MR","FA_ADJUSTED=GAAP","Sort=A","Dates=H","DateFormat=P","Fill=—","Direction=H","UseDPDF=Y")</f>
        <v>67.236800000000002</v>
      </c>
      <c r="Y93" s="14">
        <f>_xll.BDH("ALNY US Equity","CASH_CONVERSION_CYCLE","FQ3 2024","FQ3 2024","Currency=USD","Period=FQ","BEST_FPERIOD_OVERRIDE=FQ","FILING_STATUS=MR","FA_ADJUSTED=GAAP","Sort=A","Dates=H","DateFormat=P","Fill=—","Direction=H","UseDPDF=Y")</f>
        <v>69.573099999999997</v>
      </c>
      <c r="Z93" s="14">
        <f>_xll.BDH("ALNY US Equity","CASH_CONVERSION_CYCLE","FQ4 2024","FQ4 2024","Currency=USD","Period=FQ","BEST_FPERIOD_OVERRIDE=FQ","FILING_STATUS=MR","FA_ADJUSTED=GAAP","Sort=A","Dates=H","DateFormat=P","Fill=—","Direction=H","UseDPDF=Y")</f>
        <v>70.325199999999995</v>
      </c>
    </row>
    <row r="94" spans="1:26" x14ac:dyDescent="0.25">
      <c r="A94" s="10" t="s">
        <v>336</v>
      </c>
      <c r="B94" s="10" t="s">
        <v>337</v>
      </c>
      <c r="C94" s="14" t="str">
        <f>_xll.BDH("ALNY US Equity","NUM_OF_EMPLOYEES","FQ1 2019","FQ1 2019","Currency=USD","Period=FQ","BEST_FPERIOD_OVERRIDE=FQ","FILING_STATUS=MR","Sort=A","Dates=H","DateFormat=P","Fill=—","Direction=H","UseDPDF=Y")</f>
        <v>—</v>
      </c>
      <c r="D94" s="14" t="str">
        <f>_xll.BDH("ALNY US Equity","NUM_OF_EMPLOYEES","FQ2 2019","FQ2 2019","Currency=USD","Period=FQ","BEST_FPERIOD_OVERRIDE=FQ","FILING_STATUS=MR","Sort=A","Dates=H","DateFormat=P","Fill=—","Direction=H","UseDPDF=Y")</f>
        <v>—</v>
      </c>
      <c r="E94" s="14" t="str">
        <f>_xll.BDH("ALNY US Equity","NUM_OF_EMPLOYEES","FQ3 2019","FQ3 2019","Currency=USD","Period=FQ","BEST_FPERIOD_OVERRIDE=FQ","FILING_STATUS=MR","Sort=A","Dates=H","DateFormat=P","Fill=—","Direction=H","UseDPDF=Y")</f>
        <v>—</v>
      </c>
      <c r="F94" s="14">
        <f>_xll.BDH("ALNY US Equity","NUM_OF_EMPLOYEES","FQ4 2019","FQ4 2019","Currency=USD","Period=FQ","BEST_FPERIOD_OVERRIDE=FQ","FILING_STATUS=MR","Sort=A","Dates=H","DateFormat=P","Fill=—","Direction=H","UseDPDF=Y")</f>
        <v>1323</v>
      </c>
      <c r="G94" s="14" t="str">
        <f>_xll.BDH("ALNY US Equity","NUM_OF_EMPLOYEES","FQ1 2020","FQ1 2020","Currency=USD","Period=FQ","BEST_FPERIOD_OVERRIDE=FQ","FILING_STATUS=MR","Sort=A","Dates=H","DateFormat=P","Fill=—","Direction=H","UseDPDF=Y")</f>
        <v>—</v>
      </c>
      <c r="H94" s="14" t="str">
        <f>_xll.BDH("ALNY US Equity","NUM_OF_EMPLOYEES","FQ2 2020","FQ2 2020","Currency=USD","Period=FQ","BEST_FPERIOD_OVERRIDE=FQ","FILING_STATUS=MR","Sort=A","Dates=H","DateFormat=P","Fill=—","Direction=H","UseDPDF=Y")</f>
        <v>—</v>
      </c>
      <c r="I94" s="14" t="str">
        <f>_xll.BDH("ALNY US Equity","NUM_OF_EMPLOYEES","FQ3 2020","FQ3 2020","Currency=USD","Period=FQ","BEST_FPERIOD_OVERRIDE=FQ","FILING_STATUS=MR","Sort=A","Dates=H","DateFormat=P","Fill=—","Direction=H","UseDPDF=Y")</f>
        <v>—</v>
      </c>
      <c r="J94" s="14">
        <f>_xll.BDH("ALNY US Equity","NUM_OF_EMPLOYEES","FQ4 2020","FQ4 2020","Currency=USD","Period=FQ","BEST_FPERIOD_OVERRIDE=FQ","FILING_STATUS=MR","Sort=A","Dates=H","DateFormat=P","Fill=—","Direction=H","UseDPDF=Y")</f>
        <v>1453</v>
      </c>
      <c r="K94" s="14" t="str">
        <f>_xll.BDH("ALNY US Equity","NUM_OF_EMPLOYEES","FQ1 2021","FQ1 2021","Currency=USD","Period=FQ","BEST_FPERIOD_OVERRIDE=FQ","FILING_STATUS=MR","Sort=A","Dates=H","DateFormat=P","Fill=—","Direction=H","UseDPDF=Y")</f>
        <v>—</v>
      </c>
      <c r="L94" s="14" t="str">
        <f>_xll.BDH("ALNY US Equity","NUM_OF_EMPLOYEES","FQ2 2021","FQ2 2021","Currency=USD","Period=FQ","BEST_FPERIOD_OVERRIDE=FQ","FILING_STATUS=MR","Sort=A","Dates=H","DateFormat=P","Fill=—","Direction=H","UseDPDF=Y")</f>
        <v>—</v>
      </c>
      <c r="M94" s="14" t="str">
        <f>_xll.BDH("ALNY US Equity","NUM_OF_EMPLOYEES","FQ3 2021","FQ3 2021","Currency=USD","Period=FQ","BEST_FPERIOD_OVERRIDE=FQ","FILING_STATUS=MR","Sort=A","Dates=H","DateFormat=P","Fill=—","Direction=H","UseDPDF=Y")</f>
        <v>—</v>
      </c>
      <c r="N94" s="14">
        <f>_xll.BDH("ALNY US Equity","NUM_OF_EMPLOYEES","FQ4 2021","FQ4 2021","Currency=USD","Period=FQ","BEST_FPERIOD_OVERRIDE=FQ","FILING_STATUS=MR","Sort=A","Dates=H","DateFormat=P","Fill=—","Direction=H","UseDPDF=Y")</f>
        <v>1665</v>
      </c>
      <c r="O94" s="14" t="str">
        <f>_xll.BDH("ALNY US Equity","NUM_OF_EMPLOYEES","FQ1 2022","FQ1 2022","Currency=USD","Period=FQ","BEST_FPERIOD_OVERRIDE=FQ","FILING_STATUS=MR","Sort=A","Dates=H","DateFormat=P","Fill=—","Direction=H","UseDPDF=Y")</f>
        <v>—</v>
      </c>
      <c r="P94" s="14" t="str">
        <f>_xll.BDH("ALNY US Equity","NUM_OF_EMPLOYEES","FQ2 2022","FQ2 2022","Currency=USD","Period=FQ","BEST_FPERIOD_OVERRIDE=FQ","FILING_STATUS=MR","Sort=A","Dates=H","DateFormat=P","Fill=—","Direction=H","UseDPDF=Y")</f>
        <v>—</v>
      </c>
      <c r="Q94" s="14" t="str">
        <f>_xll.BDH("ALNY US Equity","NUM_OF_EMPLOYEES","FQ3 2022","FQ3 2022","Currency=USD","Period=FQ","BEST_FPERIOD_OVERRIDE=FQ","FILING_STATUS=MR","Sort=A","Dates=H","DateFormat=P","Fill=—","Direction=H","UseDPDF=Y")</f>
        <v>—</v>
      </c>
      <c r="R94" s="14">
        <f>_xll.BDH("ALNY US Equity","NUM_OF_EMPLOYEES","FQ4 2022","FQ4 2022","Currency=USD","Period=FQ","BEST_FPERIOD_OVERRIDE=FQ","FILING_STATUS=MR","Sort=A","Dates=H","DateFormat=P","Fill=—","Direction=H","UseDPDF=Y")</f>
        <v>2002</v>
      </c>
      <c r="S94" s="14" t="str">
        <f>_xll.BDH("ALNY US Equity","NUM_OF_EMPLOYEES","FQ1 2023","FQ1 2023","Currency=USD","Period=FQ","BEST_FPERIOD_OVERRIDE=FQ","FILING_STATUS=MR","Sort=A","Dates=H","DateFormat=P","Fill=—","Direction=H","UseDPDF=Y")</f>
        <v>—</v>
      </c>
      <c r="T94" s="14" t="str">
        <f>_xll.BDH("ALNY US Equity","NUM_OF_EMPLOYEES","FQ2 2023","FQ2 2023","Currency=USD","Period=FQ","BEST_FPERIOD_OVERRIDE=FQ","FILING_STATUS=MR","Sort=A","Dates=H","DateFormat=P","Fill=—","Direction=H","UseDPDF=Y")</f>
        <v>—</v>
      </c>
      <c r="U94" s="14" t="str">
        <f>_xll.BDH("ALNY US Equity","NUM_OF_EMPLOYEES","FQ3 2023","FQ3 2023","Currency=USD","Period=FQ","BEST_FPERIOD_OVERRIDE=FQ","FILING_STATUS=MR","Sort=A","Dates=H","DateFormat=P","Fill=—","Direction=H","UseDPDF=Y")</f>
        <v>—</v>
      </c>
      <c r="V94" s="14">
        <f>_xll.BDH("ALNY US Equity","NUM_OF_EMPLOYEES","FQ4 2023","FQ4 2023","Currency=USD","Period=FQ","BEST_FPERIOD_OVERRIDE=FQ","FILING_STATUS=MR","Sort=A","Dates=H","DateFormat=P","Fill=—","Direction=H","UseDPDF=Y")</f>
        <v>2100</v>
      </c>
      <c r="W94" s="14" t="str">
        <f>_xll.BDH("ALNY US Equity","NUM_OF_EMPLOYEES","FQ1 2024","FQ1 2024","Currency=USD","Period=FQ","BEST_FPERIOD_OVERRIDE=FQ","FILING_STATUS=MR","Sort=A","Dates=H","DateFormat=P","Fill=—","Direction=H","UseDPDF=Y")</f>
        <v>—</v>
      </c>
      <c r="X94" s="14" t="str">
        <f>_xll.BDH("ALNY US Equity","NUM_OF_EMPLOYEES","FQ2 2024","FQ2 2024","Currency=USD","Period=FQ","BEST_FPERIOD_OVERRIDE=FQ","FILING_STATUS=MR","Sort=A","Dates=H","DateFormat=P","Fill=—","Direction=H","UseDPDF=Y")</f>
        <v>—</v>
      </c>
      <c r="Y94" s="14" t="str">
        <f>_xll.BDH("ALNY US Equity","NUM_OF_EMPLOYEES","FQ3 2024","FQ3 2024","Currency=USD","Period=FQ","BEST_FPERIOD_OVERRIDE=FQ","FILING_STATUS=MR","Sort=A","Dates=H","DateFormat=P","Fill=—","Direction=H","UseDPDF=Y")</f>
        <v>—</v>
      </c>
      <c r="Z94" s="14">
        <f>_xll.BDH("ALNY US Equity","NUM_OF_EMPLOYEES","FQ4 2024","FQ4 2024","Currency=USD","Period=FQ","BEST_FPERIOD_OVERRIDE=FQ","FILING_STATUS=MR","Sort=A","Dates=H","DateFormat=P","Fill=—","Direction=H","UseDPDF=Y")</f>
        <v>2230</v>
      </c>
    </row>
    <row r="95" spans="1:26" x14ac:dyDescent="0.25">
      <c r="A95" s="7" t="s">
        <v>172</v>
      </c>
      <c r="B95" s="7"/>
      <c r="C95" s="7" t="s">
        <v>3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6" width="11.855468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25">
      <c r="A2" s="8" t="s">
        <v>173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</row>
    <row r="5" spans="1:26" x14ac:dyDescent="0.25">
      <c r="A5" s="9" t="s">
        <v>30</v>
      </c>
      <c r="B5" s="9"/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38</v>
      </c>
      <c r="K5" s="5" t="s">
        <v>39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  <c r="R5" s="5" t="s">
        <v>46</v>
      </c>
      <c r="S5" s="5" t="s">
        <v>47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52</v>
      </c>
      <c r="Y5" s="5" t="s">
        <v>53</v>
      </c>
      <c r="Z5" s="5" t="s">
        <v>54</v>
      </c>
    </row>
    <row r="6" spans="1:26" x14ac:dyDescent="0.25">
      <c r="A6" s="6" t="s">
        <v>338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0" t="s">
        <v>339</v>
      </c>
      <c r="B7" s="10" t="s">
        <v>340</v>
      </c>
      <c r="C7" s="13">
        <f>_xll.BDH("ALNY US Equity","CF_NET_INC","FQ1 2019","FQ1 2019","Currency=USD","Period=FQ","BEST_FPERIOD_OVERRIDE=FQ","FILING_STATUS=MR","SCALING_FORMAT=MLN","Sort=A","Dates=H","DateFormat=P","Fill=—","Direction=H","UseDPDF=Y")</f>
        <v>-181.91499999999999</v>
      </c>
      <c r="D7" s="13">
        <f>_xll.BDH("ALNY US Equity","CF_NET_INC","FQ2 2019","FQ2 2019","Currency=USD","Period=FQ","BEST_FPERIOD_OVERRIDE=FQ","FILING_STATUS=MR","SCALING_FORMAT=MLN","Sort=A","Dates=H","DateFormat=P","Fill=—","Direction=H","UseDPDF=Y")</f>
        <v>-219.48099999999999</v>
      </c>
      <c r="E7" s="13">
        <f>_xll.BDH("ALNY US Equity","CF_NET_INC","FQ3 2019","FQ3 2019","Currency=USD","Period=FQ","BEST_FPERIOD_OVERRIDE=FQ","FILING_STATUS=MR","SCALING_FORMAT=MLN","Sort=A","Dates=H","DateFormat=P","Fill=—","Direction=H","UseDPDF=Y")</f>
        <v>-208.535</v>
      </c>
      <c r="F7" s="13">
        <f>_xll.BDH("ALNY US Equity","CF_NET_INC","FQ4 2019","FQ4 2019","Currency=USD","Period=FQ","BEST_FPERIOD_OVERRIDE=FQ","FILING_STATUS=MR","SCALING_FORMAT=MLN","Sort=A","Dates=H","DateFormat=P","Fill=—","Direction=H","UseDPDF=Y")</f>
        <v>-276.185</v>
      </c>
      <c r="G7" s="13">
        <f>_xll.BDH("ALNY US Equity","CF_NET_INC","FQ1 2020","FQ1 2020","Currency=USD","Period=FQ","BEST_FPERIOD_OVERRIDE=FQ","FILING_STATUS=MR","SCALING_FORMAT=MLN","Sort=A","Dates=H","DateFormat=P","Fill=—","Direction=H","UseDPDF=Y")</f>
        <v>-182.221</v>
      </c>
      <c r="H7" s="13">
        <f>_xll.BDH("ALNY US Equity","CF_NET_INC","FQ2 2020","FQ2 2020","Currency=USD","Period=FQ","BEST_FPERIOD_OVERRIDE=FQ","FILING_STATUS=MR","SCALING_FORMAT=MLN","Sort=A","Dates=H","DateFormat=P","Fill=—","Direction=H","UseDPDF=Y")</f>
        <v>-179.22900000000001</v>
      </c>
      <c r="I7" s="13">
        <f>_xll.BDH("ALNY US Equity","CF_NET_INC","FQ3 2020","FQ3 2020","Currency=USD","Period=FQ","BEST_FPERIOD_OVERRIDE=FQ","FILING_STATUS=MR","SCALING_FORMAT=MLN","Sort=A","Dates=H","DateFormat=P","Fill=—","Direction=H","UseDPDF=Y")</f>
        <v>-253.291</v>
      </c>
      <c r="J7" s="13">
        <f>_xll.BDH("ALNY US Equity","CF_NET_INC","FQ4 2020","FQ4 2020","Currency=USD","Period=FQ","BEST_FPERIOD_OVERRIDE=FQ","FILING_STATUS=MR","SCALING_FORMAT=MLN","Sort=A","Dates=H","DateFormat=P","Fill=—","Direction=H","UseDPDF=Y")</f>
        <v>-243.54</v>
      </c>
      <c r="K7" s="13">
        <f>_xll.BDH("ALNY US Equity","CF_NET_INC","FQ1 2021","FQ1 2021","Currency=USD","Period=FQ","BEST_FPERIOD_OVERRIDE=FQ","FILING_STATUS=MR","SCALING_FORMAT=MLN","Sort=A","Dates=H","DateFormat=P","Fill=—","Direction=H","UseDPDF=Y")</f>
        <v>-200.291</v>
      </c>
      <c r="L7" s="13">
        <f>_xll.BDH("ALNY US Equity","CF_NET_INC","FQ2 2021","FQ2 2021","Currency=USD","Period=FQ","BEST_FPERIOD_OVERRIDE=FQ","FILING_STATUS=MR","SCALING_FORMAT=MLN","Sort=A","Dates=H","DateFormat=P","Fill=—","Direction=H","UseDPDF=Y")</f>
        <v>-189.559</v>
      </c>
      <c r="M7" s="13">
        <f>_xll.BDH("ALNY US Equity","CF_NET_INC","FQ3 2021","FQ3 2021","Currency=USD","Period=FQ","BEST_FPERIOD_OVERRIDE=FQ","FILING_STATUS=MR","SCALING_FORMAT=MLN","Sort=A","Dates=H","DateFormat=P","Fill=—","Direction=H","UseDPDF=Y")</f>
        <v>-204.51400000000001</v>
      </c>
      <c r="N7" s="13">
        <f>_xll.BDH("ALNY US Equity","CF_NET_INC","FQ4 2021","FQ4 2021","Currency=USD","Period=FQ","BEST_FPERIOD_OVERRIDE=FQ","FILING_STATUS=MR","SCALING_FORMAT=MLN","Sort=A","Dates=H","DateFormat=P","Fill=—","Direction=H","UseDPDF=Y")</f>
        <v>-258.45999999999998</v>
      </c>
      <c r="O7" s="13">
        <f>_xll.BDH("ALNY US Equity","CF_NET_INC","FQ1 2022","FQ1 2022","Currency=USD","Period=FQ","BEST_FPERIOD_OVERRIDE=FQ","FILING_STATUS=MR","SCALING_FORMAT=MLN","Sort=A","Dates=H","DateFormat=P","Fill=—","Direction=H","UseDPDF=Y")</f>
        <v>-240.34100000000001</v>
      </c>
      <c r="P7" s="13">
        <f>_xll.BDH("ALNY US Equity","CF_NET_INC","FQ2 2022","FQ2 2022","Currency=USD","Period=FQ","BEST_FPERIOD_OVERRIDE=FQ","FILING_STATUS=MR","SCALING_FORMAT=MLN","Sort=A","Dates=H","DateFormat=P","Fill=—","Direction=H","UseDPDF=Y")</f>
        <v>-277.40199999999999</v>
      </c>
      <c r="Q7" s="13">
        <f>_xll.BDH("ALNY US Equity","CF_NET_INC","FQ3 2022","FQ3 2022","Currency=USD","Period=FQ","BEST_FPERIOD_OVERRIDE=FQ","FILING_STATUS=MR","SCALING_FORMAT=MLN","Sort=A","Dates=H","DateFormat=P","Fill=—","Direction=H","UseDPDF=Y")</f>
        <v>-405.92</v>
      </c>
      <c r="R7" s="13">
        <f>_xll.BDH("ALNY US Equity","CF_NET_INC","FQ4 2022","FQ4 2022","Currency=USD","Period=FQ","BEST_FPERIOD_OVERRIDE=FQ","FILING_STATUS=MR","SCALING_FORMAT=MLN","Sort=A","Dates=H","DateFormat=P","Fill=—","Direction=H","UseDPDF=Y")</f>
        <v>-207.49299999999999</v>
      </c>
      <c r="S7" s="13">
        <f>_xll.BDH("ALNY US Equity","CF_NET_INC","FQ1 2023","FQ1 2023","Currency=USD","Period=FQ","BEST_FPERIOD_OVERRIDE=FQ","FILING_STATUS=MR","SCALING_FORMAT=MLN","Sort=A","Dates=H","DateFormat=P","Fill=—","Direction=H","UseDPDF=Y")</f>
        <v>-174.101</v>
      </c>
      <c r="T7" s="13">
        <f>_xll.BDH("ALNY US Equity","CF_NET_INC","FQ2 2023","FQ2 2023","Currency=USD","Period=FQ","BEST_FPERIOD_OVERRIDE=FQ","FILING_STATUS=MR","SCALING_FORMAT=MLN","Sort=A","Dates=H","DateFormat=P","Fill=—","Direction=H","UseDPDF=Y")</f>
        <v>-276.024</v>
      </c>
      <c r="U7" s="13">
        <f>_xll.BDH("ALNY US Equity","CF_NET_INC","FQ3 2023","FQ3 2023","Currency=USD","Period=FQ","BEST_FPERIOD_OVERRIDE=FQ","FILING_STATUS=MR","SCALING_FORMAT=MLN","Sort=A","Dates=H","DateFormat=P","Fill=—","Direction=H","UseDPDF=Y")</f>
        <v>147.75299999999999</v>
      </c>
      <c r="V7" s="13">
        <f>_xll.BDH("ALNY US Equity","CF_NET_INC","FQ4 2023","FQ4 2023","Currency=USD","Period=FQ","BEST_FPERIOD_OVERRIDE=FQ","FILING_STATUS=MR","SCALING_FORMAT=MLN","Sort=A","Dates=H","DateFormat=P","Fill=—","Direction=H","UseDPDF=Y")</f>
        <v>-137.87</v>
      </c>
      <c r="W7" s="13">
        <f>_xll.BDH("ALNY US Equity","CF_NET_INC","FQ1 2024","FQ1 2024","Currency=USD","Period=FQ","BEST_FPERIOD_OVERRIDE=FQ","FILING_STATUS=MR","SCALING_FORMAT=MLN","Sort=A","Dates=H","DateFormat=P","Fill=—","Direction=H","UseDPDF=Y")</f>
        <v>-65.935000000000002</v>
      </c>
      <c r="X7" s="13">
        <f>_xll.BDH("ALNY US Equity","CF_NET_INC","FQ2 2024","FQ2 2024","Currency=USD","Period=FQ","BEST_FPERIOD_OVERRIDE=FQ","FILING_STATUS=MR","SCALING_FORMAT=MLN","Sort=A","Dates=H","DateFormat=P","Fill=—","Direction=H","UseDPDF=Y")</f>
        <v>-16.888999999999999</v>
      </c>
      <c r="Y7" s="13">
        <f>_xll.BDH("ALNY US Equity","CF_NET_INC","FQ3 2024","FQ3 2024","Currency=USD","Period=FQ","BEST_FPERIOD_OVERRIDE=FQ","FILING_STATUS=MR","SCALING_FORMAT=MLN","Sort=A","Dates=H","DateFormat=P","Fill=—","Direction=H","UseDPDF=Y")</f>
        <v>-111.57</v>
      </c>
      <c r="Z7" s="13">
        <f>_xll.BDH("ALNY US Equity","CF_NET_INC","FQ4 2024","FQ4 2024","Currency=USD","Period=FQ","BEST_FPERIOD_OVERRIDE=FQ","FILING_STATUS=MR","SCALING_FORMAT=MLN","Sort=A","Dates=H","DateFormat=P","Fill=—","Direction=H","UseDPDF=Y")</f>
        <v>-83.763000000000005</v>
      </c>
    </row>
    <row r="8" spans="1:26" x14ac:dyDescent="0.25">
      <c r="A8" s="10" t="s">
        <v>341</v>
      </c>
      <c r="B8" s="10" t="s">
        <v>342</v>
      </c>
      <c r="C8" s="13">
        <f>_xll.BDH("ALNY US Equity","CF_DEPR_AMORT","FQ1 2019","FQ1 2019","Currency=USD","Period=FQ","BEST_FPERIOD_OVERRIDE=FQ","FILING_STATUS=MR","SCALING_FORMAT=MLN","Sort=A","Dates=H","DateFormat=P","Fill=—","Direction=H","UseDPDF=Y")</f>
        <v>12.21</v>
      </c>
      <c r="D8" s="13">
        <f>_xll.BDH("ALNY US Equity","CF_DEPR_AMORT","FQ2 2019","FQ2 2019","Currency=USD","Period=FQ","BEST_FPERIOD_OVERRIDE=FQ","FILING_STATUS=MR","SCALING_FORMAT=MLN","Sort=A","Dates=H","DateFormat=P","Fill=—","Direction=H","UseDPDF=Y")</f>
        <v>9.7449999999999992</v>
      </c>
      <c r="E8" s="13">
        <f>_xll.BDH("ALNY US Equity","CF_DEPR_AMORT","FQ3 2019","FQ3 2019","Currency=USD","Period=FQ","BEST_FPERIOD_OVERRIDE=FQ","FILING_STATUS=MR","SCALING_FORMAT=MLN","Sort=A","Dates=H","DateFormat=P","Fill=—","Direction=H","UseDPDF=Y")</f>
        <v>17.651</v>
      </c>
      <c r="F8" s="13">
        <f>_xll.BDH("ALNY US Equity","CF_DEPR_AMORT","FQ4 2019","FQ4 2019","Currency=USD","Period=FQ","BEST_FPERIOD_OVERRIDE=FQ","FILING_STATUS=MR","SCALING_FORMAT=MLN","Sort=A","Dates=H","DateFormat=P","Fill=—","Direction=H","UseDPDF=Y")</f>
        <v>14.762</v>
      </c>
      <c r="G8" s="13">
        <f>_xll.BDH("ALNY US Equity","CF_DEPR_AMORT","FQ1 2020","FQ1 2020","Currency=USD","Period=FQ","BEST_FPERIOD_OVERRIDE=FQ","FILING_STATUS=MR","SCALING_FORMAT=MLN","Sort=A","Dates=H","DateFormat=P","Fill=—","Direction=H","UseDPDF=Y")</f>
        <v>17.006</v>
      </c>
      <c r="H8" s="13">
        <f>_xll.BDH("ALNY US Equity","CF_DEPR_AMORT","FQ2 2020","FQ2 2020","Currency=USD","Period=FQ","BEST_FPERIOD_OVERRIDE=FQ","FILING_STATUS=MR","SCALING_FORMAT=MLN","Sort=A","Dates=H","DateFormat=P","Fill=—","Direction=H","UseDPDF=Y")</f>
        <v>17.777999999999999</v>
      </c>
      <c r="I8" s="13">
        <f>_xll.BDH("ALNY US Equity","CF_DEPR_AMORT","FQ3 2020","FQ3 2020","Currency=USD","Period=FQ","BEST_FPERIOD_OVERRIDE=FQ","FILING_STATUS=MR","SCALING_FORMAT=MLN","Sort=A","Dates=H","DateFormat=P","Fill=—","Direction=H","UseDPDF=Y")</f>
        <v>18.771000000000001</v>
      </c>
      <c r="J8" s="13">
        <f>_xll.BDH("ALNY US Equity","CF_DEPR_AMORT","FQ4 2020","FQ4 2020","Currency=USD","Period=FQ","BEST_FPERIOD_OVERRIDE=FQ","FILING_STATUS=MR","SCALING_FORMAT=MLN","Sort=A","Dates=H","DateFormat=P","Fill=—","Direction=H","UseDPDF=Y")</f>
        <v>20.88</v>
      </c>
      <c r="K8" s="13">
        <f>_xll.BDH("ALNY US Equity","CF_DEPR_AMORT","FQ1 2021","FQ1 2021","Currency=USD","Period=FQ","BEST_FPERIOD_OVERRIDE=FQ","FILING_STATUS=MR","SCALING_FORMAT=MLN","Sort=A","Dates=H","DateFormat=P","Fill=—","Direction=H","UseDPDF=Y")</f>
        <v>22.861999999999998</v>
      </c>
      <c r="L8" s="13">
        <f>_xll.BDH("ALNY US Equity","CF_DEPR_AMORT","FQ2 2021","FQ2 2021","Currency=USD","Period=FQ","BEST_FPERIOD_OVERRIDE=FQ","FILING_STATUS=MR","SCALING_FORMAT=MLN","Sort=A","Dates=H","DateFormat=P","Fill=—","Direction=H","UseDPDF=Y")</f>
        <v>22.161000000000001</v>
      </c>
      <c r="M8" s="13">
        <f>_xll.BDH("ALNY US Equity","CF_DEPR_AMORT","FQ3 2021","FQ3 2021","Currency=USD","Period=FQ","BEST_FPERIOD_OVERRIDE=FQ","FILING_STATUS=MR","SCALING_FORMAT=MLN","Sort=A","Dates=H","DateFormat=P","Fill=—","Direction=H","UseDPDF=Y")</f>
        <v>23.22</v>
      </c>
      <c r="N8" s="13">
        <f>_xll.BDH("ALNY US Equity","CF_DEPR_AMORT","FQ4 2021","FQ4 2021","Currency=USD","Period=FQ","BEST_FPERIOD_OVERRIDE=FQ","FILING_STATUS=MR","SCALING_FORMAT=MLN","Sort=A","Dates=H","DateFormat=P","Fill=—","Direction=H","UseDPDF=Y")</f>
        <v>21.451000000000001</v>
      </c>
      <c r="O8" s="13">
        <f>_xll.BDH("ALNY US Equity","CF_DEPR_AMORT","FQ1 2022","FQ1 2022","Currency=USD","Period=FQ","BEST_FPERIOD_OVERRIDE=FQ","FILING_STATUS=MR","SCALING_FORMAT=MLN","Sort=A","Dates=H","DateFormat=P","Fill=—","Direction=H","UseDPDF=Y")</f>
        <v>19.777999999999999</v>
      </c>
      <c r="P8" s="13">
        <f>_xll.BDH("ALNY US Equity","CF_DEPR_AMORT","FQ2 2022","FQ2 2022","Currency=USD","Period=FQ","BEST_FPERIOD_OVERRIDE=FQ","FILING_STATUS=MR","SCALING_FORMAT=MLN","Sort=A","Dates=H","DateFormat=P","Fill=—","Direction=H","UseDPDF=Y")</f>
        <v>20.236999999999998</v>
      </c>
      <c r="Q8" s="13">
        <f>_xll.BDH("ALNY US Equity","CF_DEPR_AMORT","FQ3 2022","FQ3 2022","Currency=USD","Period=FQ","BEST_FPERIOD_OVERRIDE=FQ","FILING_STATUS=MR","SCALING_FORMAT=MLN","Sort=A","Dates=H","DateFormat=P","Fill=—","Direction=H","UseDPDF=Y")</f>
        <v>20.65</v>
      </c>
      <c r="R8" s="13">
        <f>_xll.BDH("ALNY US Equity","CF_DEPR_AMORT","FQ4 2022","FQ4 2022","Currency=USD","Period=FQ","BEST_FPERIOD_OVERRIDE=FQ","FILING_STATUS=MR","SCALING_FORMAT=MLN","Sort=A","Dates=H","DateFormat=P","Fill=—","Direction=H","UseDPDF=Y")</f>
        <v>24.885000000000002</v>
      </c>
      <c r="S8" s="13">
        <f>_xll.BDH("ALNY US Equity","CF_DEPR_AMORT","FQ1 2023","FQ1 2023","Currency=USD","Period=FQ","BEST_FPERIOD_OVERRIDE=FQ","FILING_STATUS=MR","SCALING_FORMAT=MLN","Sort=A","Dates=H","DateFormat=P","Fill=—","Direction=H","UseDPDF=Y")</f>
        <v>26.079000000000001</v>
      </c>
      <c r="T8" s="13">
        <f>_xll.BDH("ALNY US Equity","CF_DEPR_AMORT","FQ2 2023","FQ2 2023","Currency=USD","Period=FQ","BEST_FPERIOD_OVERRIDE=FQ","FILING_STATUS=MR","SCALING_FORMAT=MLN","Sort=A","Dates=H","DateFormat=P","Fill=—","Direction=H","UseDPDF=Y")</f>
        <v>23.446999999999999</v>
      </c>
      <c r="U8" s="13">
        <f>_xll.BDH("ALNY US Equity","CF_DEPR_AMORT","FQ3 2023","FQ3 2023","Currency=USD","Period=FQ","BEST_FPERIOD_OVERRIDE=FQ","FILING_STATUS=MR","SCALING_FORMAT=MLN","Sort=A","Dates=H","DateFormat=P","Fill=—","Direction=H","UseDPDF=Y")</f>
        <v>23.532</v>
      </c>
      <c r="V8" s="13">
        <f>_xll.BDH("ALNY US Equity","CF_DEPR_AMORT","FQ4 2023","FQ4 2023","Currency=USD","Period=FQ","BEST_FPERIOD_OVERRIDE=FQ","FILING_STATUS=MR","SCALING_FORMAT=MLN","Sort=A","Dates=H","DateFormat=P","Fill=—","Direction=H","UseDPDF=Y")</f>
        <v>23.972999999999999</v>
      </c>
      <c r="W8" s="13">
        <f>_xll.BDH("ALNY US Equity","CF_DEPR_AMORT","FQ1 2024","FQ1 2024","Currency=USD","Period=FQ","BEST_FPERIOD_OVERRIDE=FQ","FILING_STATUS=MR","SCALING_FORMAT=MLN","Sort=A","Dates=H","DateFormat=P","Fill=—","Direction=H","UseDPDF=Y")</f>
        <v>25.486000000000001</v>
      </c>
      <c r="X8" s="13">
        <f>_xll.BDH("ALNY US Equity","CF_DEPR_AMORT","FQ2 2024","FQ2 2024","Currency=USD","Period=FQ","BEST_FPERIOD_OVERRIDE=FQ","FILING_STATUS=MR","SCALING_FORMAT=MLN","Sort=A","Dates=H","DateFormat=P","Fill=—","Direction=H","UseDPDF=Y")</f>
        <v>24.692</v>
      </c>
      <c r="Y8" s="13">
        <f>_xll.BDH("ALNY US Equity","CF_DEPR_AMORT","FQ3 2024","FQ3 2024","Currency=USD","Period=FQ","BEST_FPERIOD_OVERRIDE=FQ","FILING_STATUS=MR","SCALING_FORMAT=MLN","Sort=A","Dates=H","DateFormat=P","Fill=—","Direction=H","UseDPDF=Y")</f>
        <v>27.038</v>
      </c>
      <c r="Z8" s="13">
        <f>_xll.BDH("ALNY US Equity","CF_DEPR_AMORT","FQ4 2024","FQ4 2024","Currency=USD","Period=FQ","BEST_FPERIOD_OVERRIDE=FQ","FILING_STATUS=MR","SCALING_FORMAT=MLN","Sort=A","Dates=H","DateFormat=P","Fill=—","Direction=H","UseDPDF=Y")</f>
        <v>14.167999999999999</v>
      </c>
    </row>
    <row r="9" spans="1:26" x14ac:dyDescent="0.25">
      <c r="A9" s="10" t="s">
        <v>343</v>
      </c>
      <c r="B9" s="10" t="s">
        <v>344</v>
      </c>
      <c r="C9" s="13">
        <f>_xll.BDH("ALNY US Equity","NON_CASH_ITEMS_DETAILED","FQ1 2019","FQ1 2019","Currency=USD","Period=FQ","BEST_FPERIOD_OVERRIDE=FQ","FILING_STATUS=MR","SCALING_FORMAT=MLN","Sort=A","Dates=H","DateFormat=P","Fill=—","Direction=H","UseDPDF=Y")</f>
        <v>45.485999999999997</v>
      </c>
      <c r="D9" s="13">
        <f>_xll.BDH("ALNY US Equity","NON_CASH_ITEMS_DETAILED","FQ2 2019","FQ2 2019","Currency=USD","Period=FQ","BEST_FPERIOD_OVERRIDE=FQ","FILING_STATUS=MR","SCALING_FORMAT=MLN","Sort=A","Dates=H","DateFormat=P","Fill=—","Direction=H","UseDPDF=Y")</f>
        <v>38.704000000000001</v>
      </c>
      <c r="E9" s="13">
        <f>_xll.BDH("ALNY US Equity","NON_CASH_ITEMS_DETAILED","FQ3 2019","FQ3 2019","Currency=USD","Period=FQ","BEST_FPERIOD_OVERRIDE=FQ","FILING_STATUS=MR","SCALING_FORMAT=MLN","Sort=A","Dates=H","DateFormat=P","Fill=—","Direction=H","UseDPDF=Y")</f>
        <v>42.948999999999998</v>
      </c>
      <c r="F9" s="13">
        <f>_xll.BDH("ALNY US Equity","NON_CASH_ITEMS_DETAILED","FQ4 2019","FQ4 2019","Currency=USD","Period=FQ","BEST_FPERIOD_OVERRIDE=FQ","FILING_STATUS=MR","SCALING_FORMAT=MLN","Sort=A","Dates=H","DateFormat=P","Fill=—","Direction=H","UseDPDF=Y")</f>
        <v>112.622</v>
      </c>
      <c r="G9" s="13">
        <f>_xll.BDH("ALNY US Equity","NON_CASH_ITEMS_DETAILED","FQ1 2020","FQ1 2020","Currency=USD","Period=FQ","BEST_FPERIOD_OVERRIDE=FQ","FILING_STATUS=MR","SCALING_FORMAT=MLN","Sort=A","Dates=H","DateFormat=P","Fill=—","Direction=H","UseDPDF=Y")</f>
        <v>-12.124000000000001</v>
      </c>
      <c r="H9" s="13">
        <f>_xll.BDH("ALNY US Equity","NON_CASH_ITEMS_DETAILED","FQ2 2020","FQ2 2020","Currency=USD","Period=FQ","BEST_FPERIOD_OVERRIDE=FQ","FILING_STATUS=MR","SCALING_FORMAT=MLN","Sort=A","Dates=H","DateFormat=P","Fill=—","Direction=H","UseDPDF=Y")</f>
        <v>28.225999999999999</v>
      </c>
      <c r="I9" s="13">
        <f>_xll.BDH("ALNY US Equity","NON_CASH_ITEMS_DETAILED","FQ3 2020","FQ3 2020","Currency=USD","Period=FQ","BEST_FPERIOD_OVERRIDE=FQ","FILING_STATUS=MR","SCALING_FORMAT=MLN","Sort=A","Dates=H","DateFormat=P","Fill=—","Direction=H","UseDPDF=Y")</f>
        <v>127.458</v>
      </c>
      <c r="J9" s="13">
        <f>_xll.BDH("ALNY US Equity","NON_CASH_ITEMS_DETAILED","FQ4 2020","FQ4 2020","Currency=USD","Period=FQ","BEST_FPERIOD_OVERRIDE=FQ","FILING_STATUS=MR","SCALING_FORMAT=MLN","Sort=A","Dates=H","DateFormat=P","Fill=—","Direction=H","UseDPDF=Y")</f>
        <v>145.72200000000001</v>
      </c>
      <c r="K9" s="13">
        <f>_xll.BDH("ALNY US Equity","NON_CASH_ITEMS_DETAILED","FQ1 2021","FQ1 2021","Currency=USD","Period=FQ","BEST_FPERIOD_OVERRIDE=FQ","FILING_STATUS=MR","SCALING_FORMAT=MLN","Sort=A","Dates=H","DateFormat=P","Fill=—","Direction=H","UseDPDF=Y")</f>
        <v>58.575000000000003</v>
      </c>
      <c r="L9" s="13">
        <f>_xll.BDH("ALNY US Equity","NON_CASH_ITEMS_DETAILED","FQ2 2021","FQ2 2021","Currency=USD","Period=FQ","BEST_FPERIOD_OVERRIDE=FQ","FILING_STATUS=MR","SCALING_FORMAT=MLN","Sort=A","Dates=H","DateFormat=P","Fill=—","Direction=H","UseDPDF=Y")</f>
        <v>59.14</v>
      </c>
      <c r="M9" s="13">
        <f>_xll.BDH("ALNY US Equity","NON_CASH_ITEMS_DETAILED","FQ3 2021","FQ3 2021","Currency=USD","Period=FQ","BEST_FPERIOD_OVERRIDE=FQ","FILING_STATUS=MR","SCALING_FORMAT=MLN","Sort=A","Dates=H","DateFormat=P","Fill=—","Direction=H","UseDPDF=Y")</f>
        <v>83.718000000000004</v>
      </c>
      <c r="N9" s="13">
        <f>_xll.BDH("ALNY US Equity","NON_CASH_ITEMS_DETAILED","FQ4 2021","FQ4 2021","Currency=USD","Period=FQ","BEST_FPERIOD_OVERRIDE=FQ","FILING_STATUS=MR","SCALING_FORMAT=MLN","Sort=A","Dates=H","DateFormat=P","Fill=—","Direction=H","UseDPDF=Y")</f>
        <v>130.715</v>
      </c>
      <c r="O9" s="13">
        <f>_xll.BDH("ALNY US Equity","NON_CASH_ITEMS_DETAILED","FQ1 2022","FQ1 2022","Currency=USD","Period=FQ","BEST_FPERIOD_OVERRIDE=FQ","FILING_STATUS=MR","SCALING_FORMAT=MLN","Sort=A","Dates=H","DateFormat=P","Fill=—","Direction=H","UseDPDF=Y")</f>
        <v>49.924999999999997</v>
      </c>
      <c r="P9" s="13">
        <f>_xll.BDH("ALNY US Equity","NON_CASH_ITEMS_DETAILED","FQ2 2022","FQ2 2022","Currency=USD","Period=FQ","BEST_FPERIOD_OVERRIDE=FQ","FILING_STATUS=MR","SCALING_FORMAT=MLN","Sort=A","Dates=H","DateFormat=P","Fill=—","Direction=H","UseDPDF=Y")</f>
        <v>90.153000000000006</v>
      </c>
      <c r="Q9" s="13">
        <f>_xll.BDH("ALNY US Equity","NON_CASH_ITEMS_DETAILED","FQ3 2022","FQ3 2022","Currency=USD","Period=FQ","BEST_FPERIOD_OVERRIDE=FQ","FILING_STATUS=MR","SCALING_FORMAT=MLN","Sort=A","Dates=H","DateFormat=P","Fill=—","Direction=H","UseDPDF=Y")</f>
        <v>392.93599999999998</v>
      </c>
      <c r="R9" s="13">
        <f>_xll.BDH("ALNY US Equity","NON_CASH_ITEMS_DETAILED","FQ4 2022","FQ4 2022","Currency=USD","Period=FQ","BEST_FPERIOD_OVERRIDE=FQ","FILING_STATUS=MR","SCALING_FORMAT=MLN","Sort=A","Dates=H","DateFormat=P","Fill=—","Direction=H","UseDPDF=Y")</f>
        <v>155.46899999999999</v>
      </c>
      <c r="S9" s="13">
        <f>_xll.BDH("ALNY US Equity","NON_CASH_ITEMS_DETAILED","FQ1 2023","FQ1 2023","Currency=USD","Period=FQ","BEST_FPERIOD_OVERRIDE=FQ","FILING_STATUS=MR","SCALING_FORMAT=MLN","Sort=A","Dates=H","DateFormat=P","Fill=—","Direction=H","UseDPDF=Y")</f>
        <v>-27.117999999999999</v>
      </c>
      <c r="T9" s="13">
        <f>_xll.BDH("ALNY US Equity","NON_CASH_ITEMS_DETAILED","FQ2 2023","FQ2 2023","Currency=USD","Period=FQ","BEST_FPERIOD_OVERRIDE=FQ","FILING_STATUS=MR","SCALING_FORMAT=MLN","Sort=A","Dates=H","DateFormat=P","Fill=—","Direction=H","UseDPDF=Y")</f>
        <v>199.96799999999999</v>
      </c>
      <c r="U9" s="13">
        <f>_xll.BDH("ALNY US Equity","NON_CASH_ITEMS_DETAILED","FQ3 2023","FQ3 2023","Currency=USD","Period=FQ","BEST_FPERIOD_OVERRIDE=FQ","FILING_STATUS=MR","SCALING_FORMAT=MLN","Sort=A","Dates=H","DateFormat=P","Fill=—","Direction=H","UseDPDF=Y")</f>
        <v>151.434</v>
      </c>
      <c r="V9" s="13">
        <f>_xll.BDH("ALNY US Equity","NON_CASH_ITEMS_DETAILED","FQ4 2023","FQ4 2023","Currency=USD","Period=FQ","BEST_FPERIOD_OVERRIDE=FQ","FILING_STATUS=MR","SCALING_FORMAT=MLN","Sort=A","Dates=H","DateFormat=P","Fill=—","Direction=H","UseDPDF=Y")</f>
        <v>146.66200000000001</v>
      </c>
      <c r="W9" s="13">
        <f>_xll.BDH("ALNY US Equity","NON_CASH_ITEMS_DETAILED","FQ1 2024","FQ1 2024","Currency=USD","Period=FQ","BEST_FPERIOD_OVERRIDE=FQ","FILING_STATUS=MR","SCALING_FORMAT=MLN","Sort=A","Dates=H","DateFormat=P","Fill=—","Direction=H","UseDPDF=Y")</f>
        <v>62.527000000000001</v>
      </c>
      <c r="X9" s="13">
        <f>_xll.BDH("ALNY US Equity","NON_CASH_ITEMS_DETAILED","FQ2 2024","FQ2 2024","Currency=USD","Period=FQ","BEST_FPERIOD_OVERRIDE=FQ","FILING_STATUS=MR","SCALING_FORMAT=MLN","Sort=A","Dates=H","DateFormat=P","Fill=—","Direction=H","UseDPDF=Y")</f>
        <v>159.572</v>
      </c>
      <c r="Y9" s="13">
        <f>_xll.BDH("ALNY US Equity","NON_CASH_ITEMS_DETAILED","FQ3 2024","FQ3 2024","Currency=USD","Period=FQ","BEST_FPERIOD_OVERRIDE=FQ","FILING_STATUS=MR","SCALING_FORMAT=MLN","Sort=A","Dates=H","DateFormat=P","Fill=—","Direction=H","UseDPDF=Y")</f>
        <v>83.463999999999999</v>
      </c>
      <c r="Z9" s="13">
        <f>_xll.BDH("ALNY US Equity","NON_CASH_ITEMS_DETAILED","FQ4 2024","FQ4 2024","Currency=USD","Period=FQ","BEST_FPERIOD_OVERRIDE=FQ","FILING_STATUS=MR","SCALING_FORMAT=MLN","Sort=A","Dates=H","DateFormat=P","Fill=—","Direction=H","UseDPDF=Y")</f>
        <v>178.07499999999999</v>
      </c>
    </row>
    <row r="10" spans="1:26" x14ac:dyDescent="0.25">
      <c r="A10" s="10" t="s">
        <v>345</v>
      </c>
      <c r="B10" s="10" t="s">
        <v>346</v>
      </c>
      <c r="C10" s="13">
        <f>_xll.BDH("ALNY US Equity","CF_STOCK_BASED_COMPENSATION","FQ1 2019","FQ1 2019","Currency=USD","Period=FQ","BEST_FPERIOD_OVERRIDE=FQ","FILING_STATUS=MR","SCALING_FORMAT=MLN","Sort=A","Dates=H","DateFormat=P","Fill=—","Direction=H","UseDPDF=Y")</f>
        <v>32.031999999999996</v>
      </c>
      <c r="D10" s="13">
        <f>_xll.BDH("ALNY US Equity","CF_STOCK_BASED_COMPENSATION","FQ2 2019","FQ2 2019","Currency=USD","Period=FQ","BEST_FPERIOD_OVERRIDE=FQ","FILING_STATUS=MR","SCALING_FORMAT=MLN","Sort=A","Dates=H","DateFormat=P","Fill=—","Direction=H","UseDPDF=Y")</f>
        <v>30.603000000000002</v>
      </c>
      <c r="E10" s="13">
        <f>_xll.BDH("ALNY US Equity","CF_STOCK_BASED_COMPENSATION","FQ3 2019","FQ3 2019","Currency=USD","Period=FQ","BEST_FPERIOD_OVERRIDE=FQ","FILING_STATUS=MR","SCALING_FORMAT=MLN","Sort=A","Dates=H","DateFormat=P","Fill=—","Direction=H","UseDPDF=Y")</f>
        <v>46.009</v>
      </c>
      <c r="F10" s="13">
        <f>_xll.BDH("ALNY US Equity","CF_STOCK_BASED_COMPENSATION","FQ4 2019","FQ4 2019","Currency=USD","Period=FQ","BEST_FPERIOD_OVERRIDE=FQ","FILING_STATUS=MR","SCALING_FORMAT=MLN","Sort=A","Dates=H","DateFormat=P","Fill=—","Direction=H","UseDPDF=Y")</f>
        <v>66.197000000000003</v>
      </c>
      <c r="G10" s="13">
        <f>_xll.BDH("ALNY US Equity","CF_STOCK_BASED_COMPENSATION","FQ1 2020","FQ1 2020","Currency=USD","Period=FQ","BEST_FPERIOD_OVERRIDE=FQ","FILING_STATUS=MR","SCALING_FORMAT=MLN","Sort=A","Dates=H","DateFormat=P","Fill=—","Direction=H","UseDPDF=Y")</f>
        <v>34.578000000000003</v>
      </c>
      <c r="H10" s="13">
        <f>_xll.BDH("ALNY US Equity","CF_STOCK_BASED_COMPENSATION","FQ2 2020","FQ2 2020","Currency=USD","Period=FQ","BEST_FPERIOD_OVERRIDE=FQ","FILING_STATUS=MR","SCALING_FORMAT=MLN","Sort=A","Dates=H","DateFormat=P","Fill=—","Direction=H","UseDPDF=Y")</f>
        <v>33.755000000000003</v>
      </c>
      <c r="I10" s="13">
        <f>_xll.BDH("ALNY US Equity","CF_STOCK_BASED_COMPENSATION","FQ3 2020","FQ3 2020","Currency=USD","Period=FQ","BEST_FPERIOD_OVERRIDE=FQ","FILING_STATUS=MR","SCALING_FORMAT=MLN","Sort=A","Dates=H","DateFormat=P","Fill=—","Direction=H","UseDPDF=Y")</f>
        <v>37.264000000000003</v>
      </c>
      <c r="J10" s="13">
        <f>_xll.BDH("ALNY US Equity","CF_STOCK_BASED_COMPENSATION","FQ4 2020","FQ4 2020","Currency=USD","Period=FQ","BEST_FPERIOD_OVERRIDE=FQ","FILING_STATUS=MR","SCALING_FORMAT=MLN","Sort=A","Dates=H","DateFormat=P","Fill=—","Direction=H","UseDPDF=Y")</f>
        <v>34.276000000000003</v>
      </c>
      <c r="K10" s="13">
        <f>_xll.BDH("ALNY US Equity","CF_STOCK_BASED_COMPENSATION","FQ1 2021","FQ1 2021","Currency=USD","Period=FQ","BEST_FPERIOD_OVERRIDE=FQ","FILING_STATUS=MR","SCALING_FORMAT=MLN","Sort=A","Dates=H","DateFormat=P","Fill=—","Direction=H","UseDPDF=Y")</f>
        <v>55.69</v>
      </c>
      <c r="L10" s="13">
        <f>_xll.BDH("ALNY US Equity","CF_STOCK_BASED_COMPENSATION","FQ2 2021","FQ2 2021","Currency=USD","Period=FQ","BEST_FPERIOD_OVERRIDE=FQ","FILING_STATUS=MR","SCALING_FORMAT=MLN","Sort=A","Dates=H","DateFormat=P","Fill=—","Direction=H","UseDPDF=Y")</f>
        <v>32.078000000000003</v>
      </c>
      <c r="M10" s="13">
        <f>_xll.BDH("ALNY US Equity","CF_STOCK_BASED_COMPENSATION","FQ3 2021","FQ3 2021","Currency=USD","Period=FQ","BEST_FPERIOD_OVERRIDE=FQ","FILING_STATUS=MR","SCALING_FORMAT=MLN","Sort=A","Dates=H","DateFormat=P","Fill=—","Direction=H","UseDPDF=Y")</f>
        <v>33.366999999999997</v>
      </c>
      <c r="N10" s="13">
        <f>_xll.BDH("ALNY US Equity","CF_STOCK_BASED_COMPENSATION","FQ4 2021","FQ4 2021","Currency=USD","Period=FQ","BEST_FPERIOD_OVERRIDE=FQ","FILING_STATUS=MR","SCALING_FORMAT=MLN","Sort=A","Dates=H","DateFormat=P","Fill=—","Direction=H","UseDPDF=Y")</f>
        <v>44.582000000000001</v>
      </c>
      <c r="O10" s="13">
        <f>_xll.BDH("ALNY US Equity","CF_STOCK_BASED_COMPENSATION","FQ1 2022","FQ1 2022","Currency=USD","Period=FQ","BEST_FPERIOD_OVERRIDE=FQ","FILING_STATUS=MR","SCALING_FORMAT=MLN","Sort=A","Dates=H","DateFormat=P","Fill=—","Direction=H","UseDPDF=Y")</f>
        <v>29.292999999999999</v>
      </c>
      <c r="P10" s="13">
        <f>_xll.BDH("ALNY US Equity","CF_STOCK_BASED_COMPENSATION","FQ2 2022","FQ2 2022","Currency=USD","Period=FQ","BEST_FPERIOD_OVERRIDE=FQ","FILING_STATUS=MR","SCALING_FORMAT=MLN","Sort=A","Dates=H","DateFormat=P","Fill=—","Direction=H","UseDPDF=Y")</f>
        <v>30.471</v>
      </c>
      <c r="Q10" s="13">
        <f>_xll.BDH("ALNY US Equity","CF_STOCK_BASED_COMPENSATION","FQ3 2022","FQ3 2022","Currency=USD","Period=FQ","BEST_FPERIOD_OVERRIDE=FQ","FILING_STATUS=MR","SCALING_FORMAT=MLN","Sort=A","Dates=H","DateFormat=P","Fill=—","Direction=H","UseDPDF=Y")</f>
        <v>128.11799999999999</v>
      </c>
      <c r="R10" s="13">
        <f>_xll.BDH("ALNY US Equity","CF_STOCK_BASED_COMPENSATION","FQ4 2022","FQ4 2022","Currency=USD","Period=FQ","BEST_FPERIOD_OVERRIDE=FQ","FILING_STATUS=MR","SCALING_FORMAT=MLN","Sort=A","Dates=H","DateFormat=P","Fill=—","Direction=H","UseDPDF=Y")</f>
        <v>42.767000000000003</v>
      </c>
      <c r="S10" s="13">
        <f>_xll.BDH("ALNY US Equity","CF_STOCK_BASED_COMPENSATION","FQ1 2023","FQ1 2023","Currency=USD","Period=FQ","BEST_FPERIOD_OVERRIDE=FQ","FILING_STATUS=MR","SCALING_FORMAT=MLN","Sort=A","Dates=H","DateFormat=P","Fill=—","Direction=H","UseDPDF=Y")</f>
        <v>39.947000000000003</v>
      </c>
      <c r="T10" s="13">
        <f>_xll.BDH("ALNY US Equity","CF_STOCK_BASED_COMPENSATION","FQ2 2023","FQ2 2023","Currency=USD","Period=FQ","BEST_FPERIOD_OVERRIDE=FQ","FILING_STATUS=MR","SCALING_FORMAT=MLN","Sort=A","Dates=H","DateFormat=P","Fill=—","Direction=H","UseDPDF=Y")</f>
        <v>75.802000000000007</v>
      </c>
      <c r="U10" s="13">
        <f>_xll.BDH("ALNY US Equity","CF_STOCK_BASED_COMPENSATION","FQ3 2023","FQ3 2023","Currency=USD","Period=FQ","BEST_FPERIOD_OVERRIDE=FQ","FILING_STATUS=MR","SCALING_FORMAT=MLN","Sort=A","Dates=H","DateFormat=P","Fill=—","Direction=H","UseDPDF=Y")</f>
        <v>63.936999999999998</v>
      </c>
      <c r="V10" s="13">
        <f>_xll.BDH("ALNY US Equity","CF_STOCK_BASED_COMPENSATION","FQ4 2023","FQ4 2023","Currency=USD","Period=FQ","BEST_FPERIOD_OVERRIDE=FQ","FILING_STATUS=MR","SCALING_FORMAT=MLN","Sort=A","Dates=H","DateFormat=P","Fill=—","Direction=H","UseDPDF=Y")</f>
        <v>41.994</v>
      </c>
      <c r="W10" s="13">
        <f>_xll.BDH("ALNY US Equity","CF_STOCK_BASED_COMPENSATION","FQ1 2024","FQ1 2024","Currency=USD","Period=FQ","BEST_FPERIOD_OVERRIDE=FQ","FILING_STATUS=MR","SCALING_FORMAT=MLN","Sort=A","Dates=H","DateFormat=P","Fill=—","Direction=H","UseDPDF=Y")</f>
        <v>45.347000000000001</v>
      </c>
      <c r="X10" s="13">
        <f>_xll.BDH("ALNY US Equity","CF_STOCK_BASED_COMPENSATION","FQ2 2024","FQ2 2024","Currency=USD","Period=FQ","BEST_FPERIOD_OVERRIDE=FQ","FILING_STATUS=MR","SCALING_FORMAT=MLN","Sort=A","Dates=H","DateFormat=P","Fill=—","Direction=H","UseDPDF=Y")</f>
        <v>89.287999999999997</v>
      </c>
      <c r="Y10" s="13">
        <f>_xll.BDH("ALNY US Equity","CF_STOCK_BASED_COMPENSATION","FQ3 2024","FQ3 2024","Currency=USD","Period=FQ","BEST_FPERIOD_OVERRIDE=FQ","FILING_STATUS=MR","SCALING_FORMAT=MLN","Sort=A","Dates=H","DateFormat=P","Fill=—","Direction=H","UseDPDF=Y")</f>
        <v>45.804000000000002</v>
      </c>
      <c r="Z10" s="13">
        <f>_xll.BDH("ALNY US Equity","CF_STOCK_BASED_COMPENSATION","FQ4 2024","FQ4 2024","Currency=USD","Period=FQ","BEST_FPERIOD_OVERRIDE=FQ","FILING_STATUS=MR","SCALING_FORMAT=MLN","Sort=A","Dates=H","DateFormat=P","Fill=—","Direction=H","UseDPDF=Y")</f>
        <v>91.644999999999996</v>
      </c>
    </row>
    <row r="11" spans="1:26" x14ac:dyDescent="0.25">
      <c r="A11" s="10" t="s">
        <v>347</v>
      </c>
      <c r="B11" s="10" t="s">
        <v>348</v>
      </c>
      <c r="C11" s="13">
        <f>_xll.BDH("ALNY US Equity","OTHER_NON_CASH_ADJ_LESS_DETAILED","FQ1 2019","FQ1 2019","Currency=USD","Period=FQ","BEST_FPERIOD_OVERRIDE=FQ","FILING_STATUS=MR","SCALING_FORMAT=MLN","Sort=A","Dates=H","DateFormat=P","Fill=—","Direction=H","UseDPDF=Y")</f>
        <v>13.454000000000001</v>
      </c>
      <c r="D11" s="13">
        <f>_xll.BDH("ALNY US Equity","OTHER_NON_CASH_ADJ_LESS_DETAILED","FQ2 2019","FQ2 2019","Currency=USD","Period=FQ","BEST_FPERIOD_OVERRIDE=FQ","FILING_STATUS=MR","SCALING_FORMAT=MLN","Sort=A","Dates=H","DateFormat=P","Fill=—","Direction=H","UseDPDF=Y")</f>
        <v>8.1010000000000009</v>
      </c>
      <c r="E11" s="13">
        <f>_xll.BDH("ALNY US Equity","OTHER_NON_CASH_ADJ_LESS_DETAILED","FQ3 2019","FQ3 2019","Currency=USD","Period=FQ","BEST_FPERIOD_OVERRIDE=FQ","FILING_STATUS=MR","SCALING_FORMAT=MLN","Sort=A","Dates=H","DateFormat=P","Fill=—","Direction=H","UseDPDF=Y")</f>
        <v>-3.06</v>
      </c>
      <c r="F11" s="13">
        <f>_xll.BDH("ALNY US Equity","OTHER_NON_CASH_ADJ_LESS_DETAILED","FQ4 2019","FQ4 2019","Currency=USD","Period=FQ","BEST_FPERIOD_OVERRIDE=FQ","FILING_STATUS=MR","SCALING_FORMAT=MLN","Sort=A","Dates=H","DateFormat=P","Fill=—","Direction=H","UseDPDF=Y")</f>
        <v>46.424999999999997</v>
      </c>
      <c r="G11" s="13">
        <f>_xll.BDH("ALNY US Equity","OTHER_NON_CASH_ADJ_LESS_DETAILED","FQ1 2020","FQ1 2020","Currency=USD","Period=FQ","BEST_FPERIOD_OVERRIDE=FQ","FILING_STATUS=MR","SCALING_FORMAT=MLN","Sort=A","Dates=H","DateFormat=P","Fill=—","Direction=H","UseDPDF=Y")</f>
        <v>-46.701999999999998</v>
      </c>
      <c r="H11" s="13">
        <f>_xll.BDH("ALNY US Equity","OTHER_NON_CASH_ADJ_LESS_DETAILED","FQ2 2020","FQ2 2020","Currency=USD","Period=FQ","BEST_FPERIOD_OVERRIDE=FQ","FILING_STATUS=MR","SCALING_FORMAT=MLN","Sort=A","Dates=H","DateFormat=P","Fill=—","Direction=H","UseDPDF=Y")</f>
        <v>-5.5289999999999999</v>
      </c>
      <c r="I11" s="13">
        <f>_xll.BDH("ALNY US Equity","OTHER_NON_CASH_ADJ_LESS_DETAILED","FQ3 2020","FQ3 2020","Currency=USD","Period=FQ","BEST_FPERIOD_OVERRIDE=FQ","FILING_STATUS=MR","SCALING_FORMAT=MLN","Sort=A","Dates=H","DateFormat=P","Fill=—","Direction=H","UseDPDF=Y")</f>
        <v>90.194000000000003</v>
      </c>
      <c r="J11" s="13">
        <f>_xll.BDH("ALNY US Equity","OTHER_NON_CASH_ADJ_LESS_DETAILED","FQ4 2020","FQ4 2020","Currency=USD","Period=FQ","BEST_FPERIOD_OVERRIDE=FQ","FILING_STATUS=MR","SCALING_FORMAT=MLN","Sort=A","Dates=H","DateFormat=P","Fill=—","Direction=H","UseDPDF=Y")</f>
        <v>111.446</v>
      </c>
      <c r="K11" s="13">
        <f>_xll.BDH("ALNY US Equity","OTHER_NON_CASH_ADJ_LESS_DETAILED","FQ1 2021","FQ1 2021","Currency=USD","Period=FQ","BEST_FPERIOD_OVERRIDE=FQ","FILING_STATUS=MR","SCALING_FORMAT=MLN","Sort=A","Dates=H","DateFormat=P","Fill=—","Direction=H","UseDPDF=Y")</f>
        <v>2.8849999999999998</v>
      </c>
      <c r="L11" s="13">
        <f>_xll.BDH("ALNY US Equity","OTHER_NON_CASH_ADJ_LESS_DETAILED","FQ2 2021","FQ2 2021","Currency=USD","Period=FQ","BEST_FPERIOD_OVERRIDE=FQ","FILING_STATUS=MR","SCALING_FORMAT=MLN","Sort=A","Dates=H","DateFormat=P","Fill=—","Direction=H","UseDPDF=Y")</f>
        <v>27.062000000000001</v>
      </c>
      <c r="M11" s="13">
        <f>_xll.BDH("ALNY US Equity","OTHER_NON_CASH_ADJ_LESS_DETAILED","FQ3 2021","FQ3 2021","Currency=USD","Period=FQ","BEST_FPERIOD_OVERRIDE=FQ","FILING_STATUS=MR","SCALING_FORMAT=MLN","Sort=A","Dates=H","DateFormat=P","Fill=—","Direction=H","UseDPDF=Y")</f>
        <v>50.350999999999999</v>
      </c>
      <c r="N11" s="13">
        <f>_xll.BDH("ALNY US Equity","OTHER_NON_CASH_ADJ_LESS_DETAILED","FQ4 2021","FQ4 2021","Currency=USD","Period=FQ","BEST_FPERIOD_OVERRIDE=FQ","FILING_STATUS=MR","SCALING_FORMAT=MLN","Sort=A","Dates=H","DateFormat=P","Fill=—","Direction=H","UseDPDF=Y")</f>
        <v>86.132999999999996</v>
      </c>
      <c r="O11" s="13">
        <f>_xll.BDH("ALNY US Equity","OTHER_NON_CASH_ADJ_LESS_DETAILED","FQ1 2022","FQ1 2022","Currency=USD","Period=FQ","BEST_FPERIOD_OVERRIDE=FQ","FILING_STATUS=MR","SCALING_FORMAT=MLN","Sort=A","Dates=H","DateFormat=P","Fill=—","Direction=H","UseDPDF=Y")</f>
        <v>20.632000000000001</v>
      </c>
      <c r="P11" s="13">
        <f>_xll.BDH("ALNY US Equity","OTHER_NON_CASH_ADJ_LESS_DETAILED","FQ2 2022","FQ2 2022","Currency=USD","Period=FQ","BEST_FPERIOD_OVERRIDE=FQ","FILING_STATUS=MR","SCALING_FORMAT=MLN","Sort=A","Dates=H","DateFormat=P","Fill=—","Direction=H","UseDPDF=Y")</f>
        <v>59.682000000000002</v>
      </c>
      <c r="Q11" s="13">
        <f>_xll.BDH("ALNY US Equity","OTHER_NON_CASH_ADJ_LESS_DETAILED","FQ3 2022","FQ3 2022","Currency=USD","Period=FQ","BEST_FPERIOD_OVERRIDE=FQ","FILING_STATUS=MR","SCALING_FORMAT=MLN","Sort=A","Dates=H","DateFormat=P","Fill=—","Direction=H","UseDPDF=Y")</f>
        <v>264.81799999999998</v>
      </c>
      <c r="R11" s="13">
        <f>_xll.BDH("ALNY US Equity","OTHER_NON_CASH_ADJ_LESS_DETAILED","FQ4 2022","FQ4 2022","Currency=USD","Period=FQ","BEST_FPERIOD_OVERRIDE=FQ","FILING_STATUS=MR","SCALING_FORMAT=MLN","Sort=A","Dates=H","DateFormat=P","Fill=—","Direction=H","UseDPDF=Y")</f>
        <v>112.702</v>
      </c>
      <c r="S11" s="13">
        <f>_xll.BDH("ALNY US Equity","OTHER_NON_CASH_ADJ_LESS_DETAILED","FQ1 2023","FQ1 2023","Currency=USD","Period=FQ","BEST_FPERIOD_OVERRIDE=FQ","FILING_STATUS=MR","SCALING_FORMAT=MLN","Sort=A","Dates=H","DateFormat=P","Fill=—","Direction=H","UseDPDF=Y")</f>
        <v>-67.064999999999998</v>
      </c>
      <c r="T11" s="13">
        <f>_xll.BDH("ALNY US Equity","OTHER_NON_CASH_ADJ_LESS_DETAILED","FQ2 2023","FQ2 2023","Currency=USD","Period=FQ","BEST_FPERIOD_OVERRIDE=FQ","FILING_STATUS=MR","SCALING_FORMAT=MLN","Sort=A","Dates=H","DateFormat=P","Fill=—","Direction=H","UseDPDF=Y")</f>
        <v>124.166</v>
      </c>
      <c r="U11" s="13">
        <f>_xll.BDH("ALNY US Equity","OTHER_NON_CASH_ADJ_LESS_DETAILED","FQ3 2023","FQ3 2023","Currency=USD","Period=FQ","BEST_FPERIOD_OVERRIDE=FQ","FILING_STATUS=MR","SCALING_FORMAT=MLN","Sort=A","Dates=H","DateFormat=P","Fill=—","Direction=H","UseDPDF=Y")</f>
        <v>87.497</v>
      </c>
      <c r="V11" s="13">
        <f>_xll.BDH("ALNY US Equity","OTHER_NON_CASH_ADJ_LESS_DETAILED","FQ4 2023","FQ4 2023","Currency=USD","Period=FQ","BEST_FPERIOD_OVERRIDE=FQ","FILING_STATUS=MR","SCALING_FORMAT=MLN","Sort=A","Dates=H","DateFormat=P","Fill=—","Direction=H","UseDPDF=Y")</f>
        <v>104.66800000000001</v>
      </c>
      <c r="W11" s="13">
        <f>_xll.BDH("ALNY US Equity","OTHER_NON_CASH_ADJ_LESS_DETAILED","FQ1 2024","FQ1 2024","Currency=USD","Period=FQ","BEST_FPERIOD_OVERRIDE=FQ","FILING_STATUS=MR","SCALING_FORMAT=MLN","Sort=A","Dates=H","DateFormat=P","Fill=—","Direction=H","UseDPDF=Y")</f>
        <v>17.18</v>
      </c>
      <c r="X11" s="13">
        <f>_xll.BDH("ALNY US Equity","OTHER_NON_CASH_ADJ_LESS_DETAILED","FQ2 2024","FQ2 2024","Currency=USD","Period=FQ","BEST_FPERIOD_OVERRIDE=FQ","FILING_STATUS=MR","SCALING_FORMAT=MLN","Sort=A","Dates=H","DateFormat=P","Fill=—","Direction=H","UseDPDF=Y")</f>
        <v>70.284000000000006</v>
      </c>
      <c r="Y11" s="13">
        <f>_xll.BDH("ALNY US Equity","OTHER_NON_CASH_ADJ_LESS_DETAILED","FQ3 2024","FQ3 2024","Currency=USD","Period=FQ","BEST_FPERIOD_OVERRIDE=FQ","FILING_STATUS=MR","SCALING_FORMAT=MLN","Sort=A","Dates=H","DateFormat=P","Fill=—","Direction=H","UseDPDF=Y")</f>
        <v>37.659999999999997</v>
      </c>
      <c r="Z11" s="13">
        <f>_xll.BDH("ALNY US Equity","OTHER_NON_CASH_ADJ_LESS_DETAILED","FQ4 2024","FQ4 2024","Currency=USD","Period=FQ","BEST_FPERIOD_OVERRIDE=FQ","FILING_STATUS=MR","SCALING_FORMAT=MLN","Sort=A","Dates=H","DateFormat=P","Fill=—","Direction=H","UseDPDF=Y")</f>
        <v>86.43</v>
      </c>
    </row>
    <row r="12" spans="1:26" x14ac:dyDescent="0.25">
      <c r="A12" s="10" t="s">
        <v>349</v>
      </c>
      <c r="B12" s="10" t="s">
        <v>350</v>
      </c>
      <c r="C12" s="13">
        <f>_xll.BDH("ALNY US Equity","CF_CHNG_NON_CASH_WORK_CAP","FQ1 2019","FQ1 2019","Currency=USD","Period=FQ","BEST_FPERIOD_OVERRIDE=FQ","FILING_STATUS=MR","SCALING_FORMAT=MLN","Sort=A","Dates=H","DateFormat=P","Fill=—","Direction=H","UseDPDF=Y")</f>
        <v>-64.290999999999997</v>
      </c>
      <c r="D12" s="13">
        <f>_xll.BDH("ALNY US Equity","CF_CHNG_NON_CASH_WORK_CAP","FQ2 2019","FQ2 2019","Currency=USD","Period=FQ","BEST_FPERIOD_OVERRIDE=FQ","FILING_STATUS=MR","SCALING_FORMAT=MLN","Sort=A","Dates=H","DateFormat=P","Fill=—","Direction=H","UseDPDF=Y")</f>
        <v>459.72699999999998</v>
      </c>
      <c r="E12" s="13">
        <f>_xll.BDH("ALNY US Equity","CF_CHNG_NON_CASH_WORK_CAP","FQ3 2019","FQ3 2019","Currency=USD","Period=FQ","BEST_FPERIOD_OVERRIDE=FQ","FILING_STATUS=MR","SCALING_FORMAT=MLN","Sort=A","Dates=H","DateFormat=P","Fill=—","Direction=H","UseDPDF=Y")</f>
        <v>-34.697000000000003</v>
      </c>
      <c r="F12" s="13">
        <f>_xll.BDH("ALNY US Equity","CF_CHNG_NON_CASH_WORK_CAP","FQ4 2019","FQ4 2019","Currency=USD","Period=FQ","BEST_FPERIOD_OVERRIDE=FQ","FILING_STATUS=MR","SCALING_FORMAT=MLN","Sort=A","Dates=H","DateFormat=P","Fill=—","Direction=H","UseDPDF=Y")</f>
        <v>-47.179000000000002</v>
      </c>
      <c r="G12" s="13">
        <f>_xll.BDH("ALNY US Equity","CF_CHNG_NON_CASH_WORK_CAP","FQ1 2020","FQ1 2020","Currency=USD","Period=FQ","BEST_FPERIOD_OVERRIDE=FQ","FILING_STATUS=MR","SCALING_FORMAT=MLN","Sort=A","Dates=H","DateFormat=P","Fill=—","Direction=H","UseDPDF=Y")</f>
        <v>-68.822000000000003</v>
      </c>
      <c r="H12" s="13">
        <f>_xll.BDH("ALNY US Equity","CF_CHNG_NON_CASH_WORK_CAP","FQ2 2020","FQ2 2020","Currency=USD","Period=FQ","BEST_FPERIOD_OVERRIDE=FQ","FILING_STATUS=MR","SCALING_FORMAT=MLN","Sort=A","Dates=H","DateFormat=P","Fill=—","Direction=H","UseDPDF=Y")</f>
        <v>-2.105</v>
      </c>
      <c r="I12" s="13">
        <f>_xll.BDH("ALNY US Equity","CF_CHNG_NON_CASH_WORK_CAP","FQ3 2020","FQ3 2020","Currency=USD","Period=FQ","BEST_FPERIOD_OVERRIDE=FQ","FILING_STATUS=MR","SCALING_FORMAT=MLN","Sort=A","Dates=H","DateFormat=P","Fill=—","Direction=H","UseDPDF=Y")</f>
        <v>-3.2639999999999998</v>
      </c>
      <c r="J12" s="13">
        <f>_xll.BDH("ALNY US Equity","CF_CHNG_NON_CASH_WORK_CAP","FQ4 2020","FQ4 2020","Currency=USD","Period=FQ","BEST_FPERIOD_OVERRIDE=FQ","FILING_STATUS=MR","SCALING_FORMAT=MLN","Sort=A","Dates=H","DateFormat=P","Fill=—","Direction=H","UseDPDF=Y")</f>
        <v>-46.206000000000003</v>
      </c>
      <c r="K12" s="13">
        <f>_xll.BDH("ALNY US Equity","CF_CHNG_NON_CASH_WORK_CAP","FQ1 2021","FQ1 2021","Currency=USD","Period=FQ","BEST_FPERIOD_OVERRIDE=FQ","FILING_STATUS=MR","SCALING_FORMAT=MLN","Sort=A","Dates=H","DateFormat=P","Fill=—","Direction=H","UseDPDF=Y")</f>
        <v>-116.806</v>
      </c>
      <c r="L12" s="13">
        <f>_xll.BDH("ALNY US Equity","CF_CHNG_NON_CASH_WORK_CAP","FQ2 2021","FQ2 2021","Currency=USD","Period=FQ","BEST_FPERIOD_OVERRIDE=FQ","FILING_STATUS=MR","SCALING_FORMAT=MLN","Sort=A","Dates=H","DateFormat=P","Fill=—","Direction=H","UseDPDF=Y")</f>
        <v>-13.598000000000001</v>
      </c>
      <c r="M12" s="13">
        <f>_xll.BDH("ALNY US Equity","CF_CHNG_NON_CASH_WORK_CAP","FQ3 2021","FQ3 2021","Currency=USD","Period=FQ","BEST_FPERIOD_OVERRIDE=FQ","FILING_STATUS=MR","SCALING_FORMAT=MLN","Sort=A","Dates=H","DateFormat=P","Fill=—","Direction=H","UseDPDF=Y")</f>
        <v>-36.46</v>
      </c>
      <c r="N12" s="13">
        <f>_xll.BDH("ALNY US Equity","CF_CHNG_NON_CASH_WORK_CAP","FQ4 2021","FQ4 2021","Currency=USD","Period=FQ","BEST_FPERIOD_OVERRIDE=FQ","FILING_STATUS=MR","SCALING_FORMAT=MLN","Sort=A","Dates=H","DateFormat=P","Fill=—","Direction=H","UseDPDF=Y")</f>
        <v>-43.847000000000001</v>
      </c>
      <c r="O12" s="13">
        <f>_xll.BDH("ALNY US Equity","CF_CHNG_NON_CASH_WORK_CAP","FQ1 2022","FQ1 2022","Currency=USD","Period=FQ","BEST_FPERIOD_OVERRIDE=FQ","FILING_STATUS=MR","SCALING_FORMAT=MLN","Sort=A","Dates=H","DateFormat=P","Fill=—","Direction=H","UseDPDF=Y")</f>
        <v>-0.55500000000000005</v>
      </c>
      <c r="P12" s="13">
        <f>_xll.BDH("ALNY US Equity","CF_CHNG_NON_CASH_WORK_CAP","FQ2 2022","FQ2 2022","Currency=USD","Period=FQ","BEST_FPERIOD_OVERRIDE=FQ","FILING_STATUS=MR","SCALING_FORMAT=MLN","Sort=A","Dates=H","DateFormat=P","Fill=—","Direction=H","UseDPDF=Y")</f>
        <v>44.192999999999998</v>
      </c>
      <c r="Q12" s="13">
        <f>_xll.BDH("ALNY US Equity","CF_CHNG_NON_CASH_WORK_CAP","FQ3 2022","FQ3 2022","Currency=USD","Period=FQ","BEST_FPERIOD_OVERRIDE=FQ","FILING_STATUS=MR","SCALING_FORMAT=MLN","Sort=A","Dates=H","DateFormat=P","Fill=—","Direction=H","UseDPDF=Y")</f>
        <v>-122.95</v>
      </c>
      <c r="R12" s="13">
        <f>_xll.BDH("ALNY US Equity","CF_CHNG_NON_CASH_WORK_CAP","FQ4 2022","FQ4 2022","Currency=USD","Period=FQ","BEST_FPERIOD_OVERRIDE=FQ","FILING_STATUS=MR","SCALING_FORMAT=MLN","Sort=A","Dates=H","DateFormat=P","Fill=—","Direction=H","UseDPDF=Y")</f>
        <v>-104.839</v>
      </c>
      <c r="S12" s="13">
        <f>_xll.BDH("ALNY US Equity","CF_CHNG_NON_CASH_WORK_CAP","FQ1 2023","FQ1 2023","Currency=USD","Period=FQ","BEST_FPERIOD_OVERRIDE=FQ","FILING_STATUS=MR","SCALING_FORMAT=MLN","Sort=A","Dates=H","DateFormat=P","Fill=—","Direction=H","UseDPDF=Y")</f>
        <v>8.6649999999999991</v>
      </c>
      <c r="T12" s="13">
        <f>_xll.BDH("ALNY US Equity","CF_CHNG_NON_CASH_WORK_CAP","FQ2 2023","FQ2 2023","Currency=USD","Period=FQ","BEST_FPERIOD_OVERRIDE=FQ","FILING_STATUS=MR","SCALING_FORMAT=MLN","Sort=A","Dates=H","DateFormat=P","Fill=—","Direction=H","UseDPDF=Y")</f>
        <v>-6.3769999999999998</v>
      </c>
      <c r="U12" s="13">
        <f>_xll.BDH("ALNY US Equity","CF_CHNG_NON_CASH_WORK_CAP","FQ3 2023","FQ3 2023","Currency=USD","Period=FQ","BEST_FPERIOD_OVERRIDE=FQ","FILING_STATUS=MR","SCALING_FORMAT=MLN","Sort=A","Dates=H","DateFormat=P","Fill=—","Direction=H","UseDPDF=Y")</f>
        <v>36.692999999999998</v>
      </c>
      <c r="V12" s="13">
        <f>_xll.BDH("ALNY US Equity","CF_CHNG_NON_CASH_WORK_CAP","FQ4 2023","FQ4 2023","Currency=USD","Period=FQ","BEST_FPERIOD_OVERRIDE=FQ","FILING_STATUS=MR","SCALING_FORMAT=MLN","Sort=A","Dates=H","DateFormat=P","Fill=—","Direction=H","UseDPDF=Y")</f>
        <v>-62.56</v>
      </c>
      <c r="W12" s="13">
        <f>_xll.BDH("ALNY US Equity","CF_CHNG_NON_CASH_WORK_CAP","FQ1 2024","FQ1 2024","Currency=USD","Period=FQ","BEST_FPERIOD_OVERRIDE=FQ","FILING_STATUS=MR","SCALING_FORMAT=MLN","Sort=A","Dates=H","DateFormat=P","Fill=—","Direction=H","UseDPDF=Y")</f>
        <v>-103.593</v>
      </c>
      <c r="X12" s="13">
        <f>_xll.BDH("ALNY US Equity","CF_CHNG_NON_CASH_WORK_CAP","FQ2 2024","FQ2 2024","Currency=USD","Period=FQ","BEST_FPERIOD_OVERRIDE=FQ","FILING_STATUS=MR","SCALING_FORMAT=MLN","Sort=A","Dates=H","DateFormat=P","Fill=—","Direction=H","UseDPDF=Y")</f>
        <v>-43.216999999999999</v>
      </c>
      <c r="Y12" s="13">
        <f>_xll.BDH("ALNY US Equity","CF_CHNG_NON_CASH_WORK_CAP","FQ3 2024","FQ3 2024","Currency=USD","Period=FQ","BEST_FPERIOD_OVERRIDE=FQ","FILING_STATUS=MR","SCALING_FORMAT=MLN","Sort=A","Dates=H","DateFormat=P","Fill=—","Direction=H","UseDPDF=Y")</f>
        <v>44.774999999999999</v>
      </c>
      <c r="Z12" s="13">
        <f>_xll.BDH("ALNY US Equity","CF_CHNG_NON_CASH_WORK_CAP","FQ4 2024","FQ4 2024","Currency=USD","Period=FQ","BEST_FPERIOD_OVERRIDE=FQ","FILING_STATUS=MR","SCALING_FORMAT=MLN","Sort=A","Dates=H","DateFormat=P","Fill=—","Direction=H","UseDPDF=Y")</f>
        <v>-203.142</v>
      </c>
    </row>
    <row r="13" spans="1:26" x14ac:dyDescent="0.25">
      <c r="A13" s="10" t="s">
        <v>351</v>
      </c>
      <c r="B13" s="10" t="s">
        <v>352</v>
      </c>
      <c r="C13" s="13">
        <f>_xll.BDH("ALNY US Equity","CF_ACCT_RCV_UNBILLED_REV","FQ1 2019","FQ1 2019","Currency=USD","Period=FQ","BEST_FPERIOD_OVERRIDE=FQ","FILING_STATUS=MR","SCALING_FORMAT=MLN","Sort=A","Dates=H","DateFormat=P","Fill=—","Direction=H","UseDPDF=Y")</f>
        <v>-15.041</v>
      </c>
      <c r="D13" s="13">
        <f>_xll.BDH("ALNY US Equity","CF_ACCT_RCV_UNBILLED_REV","FQ2 2019","FQ2 2019","Currency=USD","Period=FQ","BEST_FPERIOD_OVERRIDE=FQ","FILING_STATUS=MR","SCALING_FORMAT=MLN","Sort=A","Dates=H","DateFormat=P","Fill=—","Direction=H","UseDPDF=Y")</f>
        <v>3.1070000000000002</v>
      </c>
      <c r="E13" s="13">
        <f>_xll.BDH("ALNY US Equity","CF_ACCT_RCV_UNBILLED_REV","FQ3 2019","FQ3 2019","Currency=USD","Period=FQ","BEST_FPERIOD_OVERRIDE=FQ","FILING_STATUS=MR","SCALING_FORMAT=MLN","Sort=A","Dates=H","DateFormat=P","Fill=—","Direction=H","UseDPDF=Y")</f>
        <v>-17.783000000000001</v>
      </c>
      <c r="F13" s="13">
        <f>_xll.BDH("ALNY US Equity","CF_ACCT_RCV_UNBILLED_REV","FQ4 2019","FQ4 2019","Currency=USD","Period=FQ","BEST_FPERIOD_OVERRIDE=FQ","FILING_STATUS=MR","SCALING_FORMAT=MLN","Sort=A","Dates=H","DateFormat=P","Fill=—","Direction=H","UseDPDF=Y")</f>
        <v>5.4790000000000001</v>
      </c>
      <c r="G13" s="13">
        <f>_xll.BDH("ALNY US Equity","CF_ACCT_RCV_UNBILLED_REV","FQ1 2020","FQ1 2020","Currency=USD","Period=FQ","BEST_FPERIOD_OVERRIDE=FQ","FILING_STATUS=MR","SCALING_FORMAT=MLN","Sort=A","Dates=H","DateFormat=P","Fill=—","Direction=H","UseDPDF=Y")</f>
        <v>-32.881999999999998</v>
      </c>
      <c r="H13" s="13">
        <f>_xll.BDH("ALNY US Equity","CF_ACCT_RCV_UNBILLED_REV","FQ2 2020","FQ2 2020","Currency=USD","Period=FQ","BEST_FPERIOD_OVERRIDE=FQ","FILING_STATUS=MR","SCALING_FORMAT=MLN","Sort=A","Dates=H","DateFormat=P","Fill=—","Direction=H","UseDPDF=Y")</f>
        <v>6.7830000000000004</v>
      </c>
      <c r="I13" s="13">
        <f>_xll.BDH("ALNY US Equity","CF_ACCT_RCV_UNBILLED_REV","FQ3 2020","FQ3 2020","Currency=USD","Period=FQ","BEST_FPERIOD_OVERRIDE=FQ","FILING_STATUS=MR","SCALING_FORMAT=MLN","Sort=A","Dates=H","DateFormat=P","Fill=—","Direction=H","UseDPDF=Y")</f>
        <v>-8.9710000000000001</v>
      </c>
      <c r="J13" s="13">
        <f>_xll.BDH("ALNY US Equity","CF_ACCT_RCV_UNBILLED_REV","FQ4 2020","FQ4 2020","Currency=USD","Period=FQ","BEST_FPERIOD_OVERRIDE=FQ","FILING_STATUS=MR","SCALING_FORMAT=MLN","Sort=A","Dates=H","DateFormat=P","Fill=—","Direction=H","UseDPDF=Y")</f>
        <v>-21.166</v>
      </c>
      <c r="K13" s="13">
        <f>_xll.BDH("ALNY US Equity","CF_ACCT_RCV_UNBILLED_REV","FQ1 2021","FQ1 2021","Currency=USD","Period=FQ","BEST_FPERIOD_OVERRIDE=FQ","FILING_STATUS=MR","SCALING_FORMAT=MLN","Sort=A","Dates=H","DateFormat=P","Fill=—","Direction=H","UseDPDF=Y")</f>
        <v>-10.709</v>
      </c>
      <c r="L13" s="13">
        <f>_xll.BDH("ALNY US Equity","CF_ACCT_RCV_UNBILLED_REV","FQ2 2021","FQ2 2021","Currency=USD","Period=FQ","BEST_FPERIOD_OVERRIDE=FQ","FILING_STATUS=MR","SCALING_FORMAT=MLN","Sort=A","Dates=H","DateFormat=P","Fill=—","Direction=H","UseDPDF=Y")</f>
        <v>-35.311</v>
      </c>
      <c r="M13" s="13">
        <f>_xll.BDH("ALNY US Equity","CF_ACCT_RCV_UNBILLED_REV","FQ3 2021","FQ3 2021","Currency=USD","Period=FQ","BEST_FPERIOD_OVERRIDE=FQ","FILING_STATUS=MR","SCALING_FORMAT=MLN","Sort=A","Dates=H","DateFormat=P","Fill=—","Direction=H","UseDPDF=Y")</f>
        <v>3.67</v>
      </c>
      <c r="N13" s="13">
        <f>_xll.BDH("ALNY US Equity","CF_ACCT_RCV_UNBILLED_REV","FQ4 2021","FQ4 2021","Currency=USD","Period=FQ","BEST_FPERIOD_OVERRIDE=FQ","FILING_STATUS=MR","SCALING_FORMAT=MLN","Sort=A","Dates=H","DateFormat=P","Fill=—","Direction=H","UseDPDF=Y")</f>
        <v>-59.448999999999998</v>
      </c>
      <c r="O13" s="13">
        <f>_xll.BDH("ALNY US Equity","CF_ACCT_RCV_UNBILLED_REV","FQ1 2022","FQ1 2022","Currency=USD","Period=FQ","BEST_FPERIOD_OVERRIDE=FQ","FILING_STATUS=MR","SCALING_FORMAT=MLN","Sort=A","Dates=H","DateFormat=P","Fill=—","Direction=H","UseDPDF=Y")</f>
        <v>39.695999999999998</v>
      </c>
      <c r="P13" s="13">
        <f>_xll.BDH("ALNY US Equity","CF_ACCT_RCV_UNBILLED_REV","FQ2 2022","FQ2 2022","Currency=USD","Period=FQ","BEST_FPERIOD_OVERRIDE=FQ","FILING_STATUS=MR","SCALING_FORMAT=MLN","Sort=A","Dates=H","DateFormat=P","Fill=—","Direction=H","UseDPDF=Y")</f>
        <v>6.399</v>
      </c>
      <c r="Q13" s="13">
        <f>_xll.BDH("ALNY US Equity","CF_ACCT_RCV_UNBILLED_REV","FQ3 2022","FQ3 2022","Currency=USD","Period=FQ","BEST_FPERIOD_OVERRIDE=FQ","FILING_STATUS=MR","SCALING_FORMAT=MLN","Sort=A","Dates=H","DateFormat=P","Fill=—","Direction=H","UseDPDF=Y")</f>
        <v>-38.423000000000002</v>
      </c>
      <c r="R13" s="13">
        <f>_xll.BDH("ALNY US Equity","CF_ACCT_RCV_UNBILLED_REV","FQ4 2022","FQ4 2022","Currency=USD","Period=FQ","BEST_FPERIOD_OVERRIDE=FQ","FILING_STATUS=MR","SCALING_FORMAT=MLN","Sort=A","Dates=H","DateFormat=P","Fill=—","Direction=H","UseDPDF=Y")</f>
        <v>-53.268999999999998</v>
      </c>
      <c r="S13" s="13">
        <f>_xll.BDH("ALNY US Equity","CF_ACCT_RCV_UNBILLED_REV","FQ1 2023","FQ1 2023","Currency=USD","Period=FQ","BEST_FPERIOD_OVERRIDE=FQ","FILING_STATUS=MR","SCALING_FORMAT=MLN","Sort=A","Dates=H","DateFormat=P","Fill=—","Direction=H","UseDPDF=Y")</f>
        <v>19.152999999999999</v>
      </c>
      <c r="T13" s="13">
        <f>_xll.BDH("ALNY US Equity","CF_ACCT_RCV_UNBILLED_REV","FQ2 2023","FQ2 2023","Currency=USD","Period=FQ","BEST_FPERIOD_OVERRIDE=FQ","FILING_STATUS=MR","SCALING_FORMAT=MLN","Sort=A","Dates=H","DateFormat=P","Fill=—","Direction=H","UseDPDF=Y")</f>
        <v>-2.97</v>
      </c>
      <c r="U13" s="13">
        <f>_xll.BDH("ALNY US Equity","CF_ACCT_RCV_UNBILLED_REV","FQ3 2023","FQ3 2023","Currency=USD","Period=FQ","BEST_FPERIOD_OVERRIDE=FQ","FILING_STATUS=MR","SCALING_FORMAT=MLN","Sort=A","Dates=H","DateFormat=P","Fill=—","Direction=H","UseDPDF=Y")</f>
        <v>-107.991</v>
      </c>
      <c r="V13" s="13">
        <f>_xll.BDH("ALNY US Equity","CF_ACCT_RCV_UNBILLED_REV","FQ4 2023","FQ4 2023","Currency=USD","Period=FQ","BEST_FPERIOD_OVERRIDE=FQ","FILING_STATUS=MR","SCALING_FORMAT=MLN","Sort=A","Dates=H","DateFormat=P","Fill=—","Direction=H","UseDPDF=Y")</f>
        <v>3.8690000000000002</v>
      </c>
      <c r="W13" s="13">
        <f>_xll.BDH("ALNY US Equity","CF_ACCT_RCV_UNBILLED_REV","FQ1 2024","FQ1 2024","Currency=USD","Period=FQ","BEST_FPERIOD_OVERRIDE=FQ","FILING_STATUS=MR","SCALING_FORMAT=MLN","Sort=A","Dates=H","DateFormat=P","Fill=—","Direction=H","UseDPDF=Y")</f>
        <v>0.41</v>
      </c>
      <c r="X13" s="13">
        <f>_xll.BDH("ALNY US Equity","CF_ACCT_RCV_UNBILLED_REV","FQ2 2024","FQ2 2024","Currency=USD","Period=FQ","BEST_FPERIOD_OVERRIDE=FQ","FILING_STATUS=MR","SCALING_FORMAT=MLN","Sort=A","Dates=H","DateFormat=P","Fill=—","Direction=H","UseDPDF=Y")</f>
        <v>9.64</v>
      </c>
      <c r="Y13" s="13">
        <f>_xll.BDH("ALNY US Equity","CF_ACCT_RCV_UNBILLED_REV","FQ3 2024","FQ3 2024","Currency=USD","Period=FQ","BEST_FPERIOD_OVERRIDE=FQ","FILING_STATUS=MR","SCALING_FORMAT=MLN","Sort=A","Dates=H","DateFormat=P","Fill=—","Direction=H","UseDPDF=Y")</f>
        <v>-37.091999999999999</v>
      </c>
      <c r="Z13" s="13">
        <f>_xll.BDH("ALNY US Equity","CF_ACCT_RCV_UNBILLED_REV","FQ4 2024","FQ4 2024","Currency=USD","Period=FQ","BEST_FPERIOD_OVERRIDE=FQ","FILING_STATUS=MR","SCALING_FORMAT=MLN","Sort=A","Dates=H","DateFormat=P","Fill=—","Direction=H","UseDPDF=Y")</f>
        <v>-59.508000000000003</v>
      </c>
    </row>
    <row r="14" spans="1:26" x14ac:dyDescent="0.25">
      <c r="A14" s="10" t="s">
        <v>353</v>
      </c>
      <c r="B14" s="10" t="s">
        <v>354</v>
      </c>
      <c r="C14" s="13">
        <f>_xll.BDH("ALNY US Equity","CF_CHANGE_IN_INVENTORIES","FQ1 2019","FQ1 2019","Currency=USD","Period=FQ","BEST_FPERIOD_OVERRIDE=FQ","FILING_STATUS=MR","SCALING_FORMAT=MLN","Sort=A","Dates=H","DateFormat=P","Fill=—","Direction=H","UseDPDF=Y")</f>
        <v>-7.1340000000000003</v>
      </c>
      <c r="D14" s="13">
        <f>_xll.BDH("ALNY US Equity","CF_CHANGE_IN_INVENTORIES","FQ2 2019","FQ2 2019","Currency=USD","Period=FQ","BEST_FPERIOD_OVERRIDE=FQ","FILING_STATUS=MR","SCALING_FORMAT=MLN","Sort=A","Dates=H","DateFormat=P","Fill=—","Direction=H","UseDPDF=Y")</f>
        <v>-7.9059999999999997</v>
      </c>
      <c r="E14" s="13">
        <f>_xll.BDH("ALNY US Equity","CF_CHANGE_IN_INVENTORIES","FQ3 2019","FQ3 2019","Currency=USD","Period=FQ","BEST_FPERIOD_OVERRIDE=FQ","FILING_STATUS=MR","SCALING_FORMAT=MLN","Sort=A","Dates=H","DateFormat=P","Fill=—","Direction=H","UseDPDF=Y")</f>
        <v>-13.055</v>
      </c>
      <c r="F14" s="13">
        <f>_xll.BDH("ALNY US Equity","CF_CHANGE_IN_INVENTORIES","FQ4 2019","FQ4 2019","Currency=USD","Period=FQ","BEST_FPERIOD_OVERRIDE=FQ","FILING_STATUS=MR","SCALING_FORMAT=MLN","Sort=A","Dates=H","DateFormat=P","Fill=—","Direction=H","UseDPDF=Y")</f>
        <v>-4.3159999999999998</v>
      </c>
      <c r="G14" s="13">
        <f>_xll.BDH("ALNY US Equity","CF_CHANGE_IN_INVENTORIES","FQ1 2020","FQ1 2020","Currency=USD","Period=FQ","BEST_FPERIOD_OVERRIDE=FQ","FILING_STATUS=MR","SCALING_FORMAT=MLN","Sort=A","Dates=H","DateFormat=P","Fill=—","Direction=H","UseDPDF=Y")</f>
        <v>-11.952</v>
      </c>
      <c r="H14" s="13">
        <f>_xll.BDH("ALNY US Equity","CF_CHANGE_IN_INVENTORIES","FQ2 2020","FQ2 2020","Currency=USD","Period=FQ","BEST_FPERIOD_OVERRIDE=FQ","FILING_STATUS=MR","SCALING_FORMAT=MLN","Sort=A","Dates=H","DateFormat=P","Fill=—","Direction=H","UseDPDF=Y")</f>
        <v>-12.226000000000001</v>
      </c>
      <c r="I14" s="13">
        <f>_xll.BDH("ALNY US Equity","CF_CHANGE_IN_INVENTORIES","FQ3 2020","FQ3 2020","Currency=USD","Period=FQ","BEST_FPERIOD_OVERRIDE=FQ","FILING_STATUS=MR","SCALING_FORMAT=MLN","Sort=A","Dates=H","DateFormat=P","Fill=—","Direction=H","UseDPDF=Y")</f>
        <v>-2.7839999999999998</v>
      </c>
      <c r="J14" s="13">
        <f>_xll.BDH("ALNY US Equity","CF_CHANGE_IN_INVENTORIES","FQ4 2020","FQ4 2020","Currency=USD","Period=FQ","BEST_FPERIOD_OVERRIDE=FQ","FILING_STATUS=MR","SCALING_FORMAT=MLN","Sort=A","Dates=H","DateFormat=P","Fill=—","Direction=H","UseDPDF=Y")</f>
        <v>-8.4640000000000004</v>
      </c>
      <c r="K14" s="13">
        <f>_xll.BDH("ALNY US Equity","CF_CHANGE_IN_INVENTORIES","FQ1 2021","FQ1 2021","Currency=USD","Period=FQ","BEST_FPERIOD_OVERRIDE=FQ","FILING_STATUS=MR","SCALING_FORMAT=MLN","Sort=A","Dates=H","DateFormat=P","Fill=—","Direction=H","UseDPDF=Y")</f>
        <v>1.9339999999999999</v>
      </c>
      <c r="L14" s="13">
        <f>_xll.BDH("ALNY US Equity","CF_CHANGE_IN_INVENTORIES","FQ2 2021","FQ2 2021","Currency=USD","Period=FQ","BEST_FPERIOD_OVERRIDE=FQ","FILING_STATUS=MR","SCALING_FORMAT=MLN","Sort=A","Dates=H","DateFormat=P","Fill=—","Direction=H","UseDPDF=Y")</f>
        <v>-3.9550000000000001</v>
      </c>
      <c r="M14" s="13">
        <f>_xll.BDH("ALNY US Equity","CF_CHANGE_IN_INVENTORIES","FQ3 2021","FQ3 2021","Currency=USD","Period=FQ","BEST_FPERIOD_OVERRIDE=FQ","FILING_STATUS=MR","SCALING_FORMAT=MLN","Sort=A","Dates=H","DateFormat=P","Fill=—","Direction=H","UseDPDF=Y")</f>
        <v>-13.634</v>
      </c>
      <c r="N14" s="13">
        <f>_xll.BDH("ALNY US Equity","CF_CHANGE_IN_INVENTORIES","FQ4 2021","FQ4 2021","Currency=USD","Period=FQ","BEST_FPERIOD_OVERRIDE=FQ","FILING_STATUS=MR","SCALING_FORMAT=MLN","Sort=A","Dates=H","DateFormat=P","Fill=—","Direction=H","UseDPDF=Y")</f>
        <v>-10.76</v>
      </c>
      <c r="O14" s="13">
        <f>_xll.BDH("ALNY US Equity","CF_CHANGE_IN_INVENTORIES","FQ1 2022","FQ1 2022","Currency=USD","Period=FQ","BEST_FPERIOD_OVERRIDE=FQ","FILING_STATUS=MR","SCALING_FORMAT=MLN","Sort=A","Dates=H","DateFormat=P","Fill=—","Direction=H","UseDPDF=Y")</f>
        <v>1.9259999999999999</v>
      </c>
      <c r="P14" s="13">
        <f>_xll.BDH("ALNY US Equity","CF_CHANGE_IN_INVENTORIES","FQ2 2022","FQ2 2022","Currency=USD","Period=FQ","BEST_FPERIOD_OVERRIDE=FQ","FILING_STATUS=MR","SCALING_FORMAT=MLN","Sort=A","Dates=H","DateFormat=P","Fill=—","Direction=H","UseDPDF=Y")</f>
        <v>-9.1999999999999993</v>
      </c>
      <c r="Q14" s="13">
        <f>_xll.BDH("ALNY US Equity","CF_CHANGE_IN_INVENTORIES","FQ3 2022","FQ3 2022","Currency=USD","Period=FQ","BEST_FPERIOD_OVERRIDE=FQ","FILING_STATUS=MR","SCALING_FORMAT=MLN","Sort=A","Dates=H","DateFormat=P","Fill=—","Direction=H","UseDPDF=Y")</f>
        <v>-7.8840000000000003</v>
      </c>
      <c r="R14" s="13">
        <f>_xll.BDH("ALNY US Equity","CF_CHANGE_IN_INVENTORIES","FQ4 2022","FQ4 2022","Currency=USD","Period=FQ","BEST_FPERIOD_OVERRIDE=FQ","FILING_STATUS=MR","SCALING_FORMAT=MLN","Sort=A","Dates=H","DateFormat=P","Fill=—","Direction=H","UseDPDF=Y")</f>
        <v>-18.978000000000002</v>
      </c>
      <c r="S14" s="13">
        <f>_xll.BDH("ALNY US Equity","CF_CHANGE_IN_INVENTORIES","FQ1 2023","FQ1 2023","Currency=USD","Period=FQ","BEST_FPERIOD_OVERRIDE=FQ","FILING_STATUS=MR","SCALING_FORMAT=MLN","Sort=A","Dates=H","DateFormat=P","Fill=—","Direction=H","UseDPDF=Y")</f>
        <v>-0.40300000000000002</v>
      </c>
      <c r="T14" s="13">
        <f>_xll.BDH("ALNY US Equity","CF_CHANGE_IN_INVENTORIES","FQ2 2023","FQ2 2023","Currency=USD","Period=FQ","BEST_FPERIOD_OVERRIDE=FQ","FILING_STATUS=MR","SCALING_FORMAT=MLN","Sort=A","Dates=H","DateFormat=P","Fill=—","Direction=H","UseDPDF=Y")</f>
        <v>1.9850000000000001</v>
      </c>
      <c r="U14" s="13">
        <f>_xll.BDH("ALNY US Equity","CF_CHANGE_IN_INVENTORIES","FQ3 2023","FQ3 2023","Currency=USD","Period=FQ","BEST_FPERIOD_OVERRIDE=FQ","FILING_STATUS=MR","SCALING_FORMAT=MLN","Sort=A","Dates=H","DateFormat=P","Fill=—","Direction=H","UseDPDF=Y")</f>
        <v>4.7949999999999999</v>
      </c>
      <c r="V14" s="13">
        <f>_xll.BDH("ALNY US Equity","CF_CHANGE_IN_INVENTORIES","FQ4 2023","FQ4 2023","Currency=USD","Period=FQ","BEST_FPERIOD_OVERRIDE=FQ","FILING_STATUS=MR","SCALING_FORMAT=MLN","Sort=A","Dates=H","DateFormat=P","Fill=—","Direction=H","UseDPDF=Y")</f>
        <v>11.99</v>
      </c>
      <c r="W14" s="13">
        <f>_xll.BDH("ALNY US Equity","CF_CHANGE_IN_INVENTORIES","FQ1 2024","FQ1 2024","Currency=USD","Period=FQ","BEST_FPERIOD_OVERRIDE=FQ","FILING_STATUS=MR","SCALING_FORMAT=MLN","Sort=A","Dates=H","DateFormat=P","Fill=—","Direction=H","UseDPDF=Y")</f>
        <v>2.1999999999999999E-2</v>
      </c>
      <c r="X14" s="13">
        <f>_xll.BDH("ALNY US Equity","CF_CHANGE_IN_INVENTORIES","FQ2 2024","FQ2 2024","Currency=USD","Period=FQ","BEST_FPERIOD_OVERRIDE=FQ","FILING_STATUS=MR","SCALING_FORMAT=MLN","Sort=A","Dates=H","DateFormat=P","Fill=—","Direction=H","UseDPDF=Y")</f>
        <v>6.7939999999999996</v>
      </c>
      <c r="Y14" s="13">
        <f>_xll.BDH("ALNY US Equity","CF_CHANGE_IN_INVENTORIES","FQ3 2024","FQ3 2024","Currency=USD","Period=FQ","BEST_FPERIOD_OVERRIDE=FQ","FILING_STATUS=MR","SCALING_FORMAT=MLN","Sort=A","Dates=H","DateFormat=P","Fill=—","Direction=H","UseDPDF=Y")</f>
        <v>5.9249999999999998</v>
      </c>
      <c r="Z14" s="13">
        <f>_xll.BDH("ALNY US Equity","CF_CHANGE_IN_INVENTORIES","FQ4 2024","FQ4 2024","Currency=USD","Period=FQ","BEST_FPERIOD_OVERRIDE=FQ","FILING_STATUS=MR","SCALING_FORMAT=MLN","Sort=A","Dates=H","DateFormat=P","Fill=—","Direction=H","UseDPDF=Y")</f>
        <v>0.84899999999999998</v>
      </c>
    </row>
    <row r="15" spans="1:26" x14ac:dyDescent="0.25">
      <c r="A15" s="10" t="s">
        <v>355</v>
      </c>
      <c r="B15" s="10" t="s">
        <v>356</v>
      </c>
      <c r="C15" s="13">
        <f>_xll.BDH("ALNY US Equity","CF_CHANGE_IN_ACCOUNTS_PAYABLE","FQ1 2019","FQ1 2019","Currency=USD","Period=FQ","BEST_FPERIOD_OVERRIDE=FQ","FILING_STATUS=MR","SCALING_FORMAT=MLN","Sort=A","Dates=H","DateFormat=P","Fill=—","Direction=H","UseDPDF=Y")</f>
        <v>-17.132999999999999</v>
      </c>
      <c r="D15" s="13">
        <f>_xll.BDH("ALNY US Equity","CF_CHANGE_IN_ACCOUNTS_PAYABLE","FQ2 2019","FQ2 2019","Currency=USD","Period=FQ","BEST_FPERIOD_OVERRIDE=FQ","FILING_STATUS=MR","SCALING_FORMAT=MLN","Sort=A","Dates=H","DateFormat=P","Fill=—","Direction=H","UseDPDF=Y")</f>
        <v>43.502000000000002</v>
      </c>
      <c r="E15" s="13">
        <f>_xll.BDH("ALNY US Equity","CF_CHANGE_IN_ACCOUNTS_PAYABLE","FQ3 2019","FQ3 2019","Currency=USD","Period=FQ","BEST_FPERIOD_OVERRIDE=FQ","FILING_STATUS=MR","SCALING_FORMAT=MLN","Sort=A","Dates=H","DateFormat=P","Fill=—","Direction=H","UseDPDF=Y")</f>
        <v>-30.088000000000001</v>
      </c>
      <c r="F15" s="13" t="str">
        <f>_xll.BDH("ALNY US Equity","CF_CHANGE_IN_ACCOUNTS_PAYABLE","FQ4 2019","FQ4 2019","Currency=USD","Period=FQ","BEST_FPERIOD_OVERRIDE=FQ","FILING_STATUS=MR","SCALING_FORMAT=MLN","Sort=A","Dates=H","DateFormat=P","Fill=—","Direction=H","UseDPDF=Y")</f>
        <v>—</v>
      </c>
      <c r="G15" s="13" t="str">
        <f>_xll.BDH("ALNY US Equity","CF_CHANGE_IN_ACCOUNTS_PAYABLE","FQ1 2020","FQ1 2020","Currency=USD","Period=FQ","BEST_FPERIOD_OVERRIDE=FQ","FILING_STATUS=MR","SCALING_FORMAT=MLN","Sort=A","Dates=H","DateFormat=P","Fill=—","Direction=H","UseDPDF=Y")</f>
        <v>—</v>
      </c>
      <c r="H15" s="13" t="str">
        <f>_xll.BDH("ALNY US Equity","CF_CHANGE_IN_ACCOUNTS_PAYABLE","FQ2 2020","FQ2 2020","Currency=USD","Period=FQ","BEST_FPERIOD_OVERRIDE=FQ","FILING_STATUS=MR","SCALING_FORMAT=MLN","Sort=A","Dates=H","DateFormat=P","Fill=—","Direction=H","UseDPDF=Y")</f>
        <v>—</v>
      </c>
      <c r="I15" s="13" t="str">
        <f>_xll.BDH("ALNY US Equity","CF_CHANGE_IN_ACCOUNTS_PAYABLE","FQ3 2020","FQ3 2020","Currency=USD","Period=FQ","BEST_FPERIOD_OVERRIDE=FQ","FILING_STATUS=MR","SCALING_FORMAT=MLN","Sort=A","Dates=H","DateFormat=P","Fill=—","Direction=H","UseDPDF=Y")</f>
        <v>—</v>
      </c>
      <c r="J15" s="13" t="str">
        <f>_xll.BDH("ALNY US Equity","CF_CHANGE_IN_ACCOUNTS_PAYABLE","FQ4 2020","FQ4 2020","Currency=USD","Period=FQ","BEST_FPERIOD_OVERRIDE=FQ","FILING_STATUS=MR","SCALING_FORMAT=MLN","Sort=A","Dates=H","DateFormat=P","Fill=—","Direction=H","UseDPDF=Y")</f>
        <v>—</v>
      </c>
      <c r="K15" s="13" t="str">
        <f>_xll.BDH("ALNY US Equity","CF_CHANGE_IN_ACCOUNTS_PAYABLE","FQ1 2021","FQ1 2021","Currency=USD","Period=FQ","BEST_FPERIOD_OVERRIDE=FQ","FILING_STATUS=MR","SCALING_FORMAT=MLN","Sort=A","Dates=H","DateFormat=P","Fill=—","Direction=H","UseDPDF=Y")</f>
        <v>—</v>
      </c>
      <c r="L15" s="13" t="str">
        <f>_xll.BDH("ALNY US Equity","CF_CHANGE_IN_ACCOUNTS_PAYABLE","FQ2 2021","FQ2 2021","Currency=USD","Period=FQ","BEST_FPERIOD_OVERRIDE=FQ","FILING_STATUS=MR","SCALING_FORMAT=MLN","Sort=A","Dates=H","DateFormat=P","Fill=—","Direction=H","UseDPDF=Y")</f>
        <v>—</v>
      </c>
      <c r="M15" s="13" t="str">
        <f>_xll.BDH("ALNY US Equity","CF_CHANGE_IN_ACCOUNTS_PAYABLE","FQ3 2021","FQ3 2021","Currency=USD","Period=FQ","BEST_FPERIOD_OVERRIDE=FQ","FILING_STATUS=MR","SCALING_FORMAT=MLN","Sort=A","Dates=H","DateFormat=P","Fill=—","Direction=H","UseDPDF=Y")</f>
        <v>—</v>
      </c>
      <c r="N15" s="13" t="str">
        <f>_xll.BDH("ALNY US Equity","CF_CHANGE_IN_ACCOUNTS_PAYABLE","FQ4 2021","FQ4 2021","Currency=USD","Period=FQ","BEST_FPERIOD_OVERRIDE=FQ","FILING_STATUS=MR","SCALING_FORMAT=MLN","Sort=A","Dates=H","DateFormat=P","Fill=—","Direction=H","UseDPDF=Y")</f>
        <v>—</v>
      </c>
      <c r="O15" s="13" t="str">
        <f>_xll.BDH("ALNY US Equity","CF_CHANGE_IN_ACCOUNTS_PAYABLE","FQ1 2022","FQ1 2022","Currency=USD","Period=FQ","BEST_FPERIOD_OVERRIDE=FQ","FILING_STATUS=MR","SCALING_FORMAT=MLN","Sort=A","Dates=H","DateFormat=P","Fill=—","Direction=H","UseDPDF=Y")</f>
        <v>—</v>
      </c>
      <c r="P15" s="13" t="str">
        <f>_xll.BDH("ALNY US Equity","CF_CHANGE_IN_ACCOUNTS_PAYABLE","FQ2 2022","FQ2 2022","Currency=USD","Period=FQ","BEST_FPERIOD_OVERRIDE=FQ","FILING_STATUS=MR","SCALING_FORMAT=MLN","Sort=A","Dates=H","DateFormat=P","Fill=—","Direction=H","UseDPDF=Y")</f>
        <v>—</v>
      </c>
      <c r="Q15" s="13" t="str">
        <f>_xll.BDH("ALNY US Equity","CF_CHANGE_IN_ACCOUNTS_PAYABLE","FQ3 2022","FQ3 2022","Currency=USD","Period=FQ","BEST_FPERIOD_OVERRIDE=FQ","FILING_STATUS=MR","SCALING_FORMAT=MLN","Sort=A","Dates=H","DateFormat=P","Fill=—","Direction=H","UseDPDF=Y")</f>
        <v>—</v>
      </c>
      <c r="R15" s="13" t="str">
        <f>_xll.BDH("ALNY US Equity","CF_CHANGE_IN_ACCOUNTS_PAYABLE","FQ4 2022","FQ4 2022","Currency=USD","Period=FQ","BEST_FPERIOD_OVERRIDE=FQ","FILING_STATUS=MR","SCALING_FORMAT=MLN","Sort=A","Dates=H","DateFormat=P","Fill=—","Direction=H","UseDPDF=Y")</f>
        <v>—</v>
      </c>
      <c r="S15" s="13" t="str">
        <f>_xll.BDH("ALNY US Equity","CF_CHANGE_IN_ACCOUNTS_PAYABLE","FQ1 2023","FQ1 2023","Currency=USD","Period=FQ","BEST_FPERIOD_OVERRIDE=FQ","FILING_STATUS=MR","SCALING_FORMAT=MLN","Sort=A","Dates=H","DateFormat=P","Fill=—","Direction=H","UseDPDF=Y")</f>
        <v>—</v>
      </c>
      <c r="T15" s="13" t="str">
        <f>_xll.BDH("ALNY US Equity","CF_CHANGE_IN_ACCOUNTS_PAYABLE","FQ2 2023","FQ2 2023","Currency=USD","Period=FQ","BEST_FPERIOD_OVERRIDE=FQ","FILING_STATUS=MR","SCALING_FORMAT=MLN","Sort=A","Dates=H","DateFormat=P","Fill=—","Direction=H","UseDPDF=Y")</f>
        <v>—</v>
      </c>
      <c r="U15" s="13" t="str">
        <f>_xll.BDH("ALNY US Equity","CF_CHANGE_IN_ACCOUNTS_PAYABLE","FQ3 2023","FQ3 2023","Currency=USD","Period=FQ","BEST_FPERIOD_OVERRIDE=FQ","FILING_STATUS=MR","SCALING_FORMAT=MLN","Sort=A","Dates=H","DateFormat=P","Fill=—","Direction=H","UseDPDF=Y")</f>
        <v>—</v>
      </c>
      <c r="V15" s="13" t="str">
        <f>_xll.BDH("ALNY US Equity","CF_CHANGE_IN_ACCOUNTS_PAYABLE","FQ4 2023","FQ4 2023","Currency=USD","Period=FQ","BEST_FPERIOD_OVERRIDE=FQ","FILING_STATUS=MR","SCALING_FORMAT=MLN","Sort=A","Dates=H","DateFormat=P","Fill=—","Direction=H","UseDPDF=Y")</f>
        <v>—</v>
      </c>
      <c r="W15" s="13" t="str">
        <f>_xll.BDH("ALNY US Equity","CF_CHANGE_IN_ACCOUNTS_PAYABLE","FQ1 2024","FQ1 2024","Currency=USD","Period=FQ","BEST_FPERIOD_OVERRIDE=FQ","FILING_STATUS=MR","SCALING_FORMAT=MLN","Sort=A","Dates=H","DateFormat=P","Fill=—","Direction=H","UseDPDF=Y")</f>
        <v>—</v>
      </c>
      <c r="X15" s="13" t="str">
        <f>_xll.BDH("ALNY US Equity","CF_CHANGE_IN_ACCOUNTS_PAYABLE","FQ2 2024","FQ2 2024","Currency=USD","Period=FQ","BEST_FPERIOD_OVERRIDE=FQ","FILING_STATUS=MR","SCALING_FORMAT=MLN","Sort=A","Dates=H","DateFormat=P","Fill=—","Direction=H","UseDPDF=Y")</f>
        <v>—</v>
      </c>
      <c r="Y15" s="13" t="str">
        <f>_xll.BDH("ALNY US Equity","CF_CHANGE_IN_ACCOUNTS_PAYABLE","FQ3 2024","FQ3 2024","Currency=USD","Period=FQ","BEST_FPERIOD_OVERRIDE=FQ","FILING_STATUS=MR","SCALING_FORMAT=MLN","Sort=A","Dates=H","DateFormat=P","Fill=—","Direction=H","UseDPDF=Y")</f>
        <v>—</v>
      </c>
      <c r="Z15" s="13" t="str">
        <f>_xll.BDH("ALNY US Equity","CF_CHANGE_IN_ACCOUNTS_PAYABLE","FQ4 2024","FQ4 2024","Currency=USD","Period=FQ","BEST_FPERIOD_OVERRIDE=FQ","FILING_STATUS=MR","SCALING_FORMAT=MLN","Sort=A","Dates=H","DateFormat=P","Fill=—","Direction=H","UseDPDF=Y")</f>
        <v>—</v>
      </c>
    </row>
    <row r="16" spans="1:26" x14ac:dyDescent="0.25">
      <c r="A16" s="10" t="s">
        <v>357</v>
      </c>
      <c r="B16" s="10" t="s">
        <v>358</v>
      </c>
      <c r="C16" s="13">
        <f>_xll.BDH("ALNY US Equity","INC_DEC_IN_OT_OP_AST_LIAB_DETAIL","FQ1 2019","FQ1 2019","Currency=USD","Period=FQ","BEST_FPERIOD_OVERRIDE=FQ","FILING_STATUS=MR","SCALING_FORMAT=MLN","Sort=A","Dates=H","DateFormat=P","Fill=—","Direction=H","UseDPDF=Y")</f>
        <v>-24.983000000000001</v>
      </c>
      <c r="D16" s="13">
        <f>_xll.BDH("ALNY US Equity","INC_DEC_IN_OT_OP_AST_LIAB_DETAIL","FQ2 2019","FQ2 2019","Currency=USD","Period=FQ","BEST_FPERIOD_OVERRIDE=FQ","FILING_STATUS=MR","SCALING_FORMAT=MLN","Sort=A","Dates=H","DateFormat=P","Fill=—","Direction=H","UseDPDF=Y")</f>
        <v>421.024</v>
      </c>
      <c r="E16" s="13">
        <f>_xll.BDH("ALNY US Equity","INC_DEC_IN_OT_OP_AST_LIAB_DETAIL","FQ3 2019","FQ3 2019","Currency=USD","Period=FQ","BEST_FPERIOD_OVERRIDE=FQ","FILING_STATUS=MR","SCALING_FORMAT=MLN","Sort=A","Dates=H","DateFormat=P","Fill=—","Direction=H","UseDPDF=Y")</f>
        <v>26.228999999999999</v>
      </c>
      <c r="F16" s="13">
        <f>_xll.BDH("ALNY US Equity","INC_DEC_IN_OT_OP_AST_LIAB_DETAIL","FQ4 2019","FQ4 2019","Currency=USD","Period=FQ","BEST_FPERIOD_OVERRIDE=FQ","FILING_STATUS=MR","SCALING_FORMAT=MLN","Sort=A","Dates=H","DateFormat=P","Fill=—","Direction=H","UseDPDF=Y")</f>
        <v>-52.061</v>
      </c>
      <c r="G16" s="13">
        <f>_xll.BDH("ALNY US Equity","INC_DEC_IN_OT_OP_AST_LIAB_DETAIL","FQ1 2020","FQ1 2020","Currency=USD","Period=FQ","BEST_FPERIOD_OVERRIDE=FQ","FILING_STATUS=MR","SCALING_FORMAT=MLN","Sort=A","Dates=H","DateFormat=P","Fill=—","Direction=H","UseDPDF=Y")</f>
        <v>-23.988</v>
      </c>
      <c r="H16" s="13">
        <f>_xll.BDH("ALNY US Equity","INC_DEC_IN_OT_OP_AST_LIAB_DETAIL","FQ2 2020","FQ2 2020","Currency=USD","Period=FQ","BEST_FPERIOD_OVERRIDE=FQ","FILING_STATUS=MR","SCALING_FORMAT=MLN","Sort=A","Dates=H","DateFormat=P","Fill=—","Direction=H","UseDPDF=Y")</f>
        <v>3.3380000000000001</v>
      </c>
      <c r="I16" s="13">
        <f>_xll.BDH("ALNY US Equity","INC_DEC_IN_OT_OP_AST_LIAB_DETAIL","FQ3 2020","FQ3 2020","Currency=USD","Period=FQ","BEST_FPERIOD_OVERRIDE=FQ","FILING_STATUS=MR","SCALING_FORMAT=MLN","Sort=A","Dates=H","DateFormat=P","Fill=—","Direction=H","UseDPDF=Y")</f>
        <v>8.4909999999999997</v>
      </c>
      <c r="J16" s="13">
        <f>_xll.BDH("ALNY US Equity","INC_DEC_IN_OT_OP_AST_LIAB_DETAIL","FQ4 2020","FQ4 2020","Currency=USD","Period=FQ","BEST_FPERIOD_OVERRIDE=FQ","FILING_STATUS=MR","SCALING_FORMAT=MLN","Sort=A","Dates=H","DateFormat=P","Fill=—","Direction=H","UseDPDF=Y")</f>
        <v>-16.576000000000001</v>
      </c>
      <c r="K16" s="13">
        <f>_xll.BDH("ALNY US Equity","INC_DEC_IN_OT_OP_AST_LIAB_DETAIL","FQ1 2021","FQ1 2021","Currency=USD","Period=FQ","BEST_FPERIOD_OVERRIDE=FQ","FILING_STATUS=MR","SCALING_FORMAT=MLN","Sort=A","Dates=H","DateFormat=P","Fill=—","Direction=H","UseDPDF=Y")</f>
        <v>-108.03100000000001</v>
      </c>
      <c r="L16" s="13">
        <f>_xll.BDH("ALNY US Equity","INC_DEC_IN_OT_OP_AST_LIAB_DETAIL","FQ2 2021","FQ2 2021","Currency=USD","Period=FQ","BEST_FPERIOD_OVERRIDE=FQ","FILING_STATUS=MR","SCALING_FORMAT=MLN","Sort=A","Dates=H","DateFormat=P","Fill=—","Direction=H","UseDPDF=Y")</f>
        <v>25.667999999999999</v>
      </c>
      <c r="M16" s="13">
        <f>_xll.BDH("ALNY US Equity","INC_DEC_IN_OT_OP_AST_LIAB_DETAIL","FQ3 2021","FQ3 2021","Currency=USD","Period=FQ","BEST_FPERIOD_OVERRIDE=FQ","FILING_STATUS=MR","SCALING_FORMAT=MLN","Sort=A","Dates=H","DateFormat=P","Fill=—","Direction=H","UseDPDF=Y")</f>
        <v>-26.495999999999999</v>
      </c>
      <c r="N16" s="13">
        <f>_xll.BDH("ALNY US Equity","INC_DEC_IN_OT_OP_AST_LIAB_DETAIL","FQ4 2021","FQ4 2021","Currency=USD","Period=FQ","BEST_FPERIOD_OVERRIDE=FQ","FILING_STATUS=MR","SCALING_FORMAT=MLN","Sort=A","Dates=H","DateFormat=P","Fill=—","Direction=H","UseDPDF=Y")</f>
        <v>26.361999999999998</v>
      </c>
      <c r="O16" s="13">
        <f>_xll.BDH("ALNY US Equity","INC_DEC_IN_OT_OP_AST_LIAB_DETAIL","FQ1 2022","FQ1 2022","Currency=USD","Period=FQ","BEST_FPERIOD_OVERRIDE=FQ","FILING_STATUS=MR","SCALING_FORMAT=MLN","Sort=A","Dates=H","DateFormat=P","Fill=—","Direction=H","UseDPDF=Y")</f>
        <v>-42.177</v>
      </c>
      <c r="P16" s="13">
        <f>_xll.BDH("ALNY US Equity","INC_DEC_IN_OT_OP_AST_LIAB_DETAIL","FQ2 2022","FQ2 2022","Currency=USD","Period=FQ","BEST_FPERIOD_OVERRIDE=FQ","FILING_STATUS=MR","SCALING_FORMAT=MLN","Sort=A","Dates=H","DateFormat=P","Fill=—","Direction=H","UseDPDF=Y")</f>
        <v>46.994</v>
      </c>
      <c r="Q16" s="13">
        <f>_xll.BDH("ALNY US Equity","INC_DEC_IN_OT_OP_AST_LIAB_DETAIL","FQ3 2022","FQ3 2022","Currency=USD","Period=FQ","BEST_FPERIOD_OVERRIDE=FQ","FILING_STATUS=MR","SCALING_FORMAT=MLN","Sort=A","Dates=H","DateFormat=P","Fill=—","Direction=H","UseDPDF=Y")</f>
        <v>-76.643000000000001</v>
      </c>
      <c r="R16" s="13">
        <f>_xll.BDH("ALNY US Equity","INC_DEC_IN_OT_OP_AST_LIAB_DETAIL","FQ4 2022","FQ4 2022","Currency=USD","Period=FQ","BEST_FPERIOD_OVERRIDE=FQ","FILING_STATUS=MR","SCALING_FORMAT=MLN","Sort=A","Dates=H","DateFormat=P","Fill=—","Direction=H","UseDPDF=Y")</f>
        <v>-32.591999999999999</v>
      </c>
      <c r="S16" s="13">
        <f>_xll.BDH("ALNY US Equity","INC_DEC_IN_OT_OP_AST_LIAB_DETAIL","FQ1 2023","FQ1 2023","Currency=USD","Period=FQ","BEST_FPERIOD_OVERRIDE=FQ","FILING_STATUS=MR","SCALING_FORMAT=MLN","Sort=A","Dates=H","DateFormat=P","Fill=—","Direction=H","UseDPDF=Y")</f>
        <v>-10.085000000000001</v>
      </c>
      <c r="T16" s="13">
        <f>_xll.BDH("ALNY US Equity","INC_DEC_IN_OT_OP_AST_LIAB_DETAIL","FQ2 2023","FQ2 2023","Currency=USD","Period=FQ","BEST_FPERIOD_OVERRIDE=FQ","FILING_STATUS=MR","SCALING_FORMAT=MLN","Sort=A","Dates=H","DateFormat=P","Fill=—","Direction=H","UseDPDF=Y")</f>
        <v>-5.3920000000000003</v>
      </c>
      <c r="U16" s="13">
        <f>_xll.BDH("ALNY US Equity","INC_DEC_IN_OT_OP_AST_LIAB_DETAIL","FQ3 2023","FQ3 2023","Currency=USD","Period=FQ","BEST_FPERIOD_OVERRIDE=FQ","FILING_STATUS=MR","SCALING_FORMAT=MLN","Sort=A","Dates=H","DateFormat=P","Fill=—","Direction=H","UseDPDF=Y")</f>
        <v>139.88900000000001</v>
      </c>
      <c r="V16" s="13">
        <f>_xll.BDH("ALNY US Equity","INC_DEC_IN_OT_OP_AST_LIAB_DETAIL","FQ4 2023","FQ4 2023","Currency=USD","Period=FQ","BEST_FPERIOD_OVERRIDE=FQ","FILING_STATUS=MR","SCALING_FORMAT=MLN","Sort=A","Dates=H","DateFormat=P","Fill=—","Direction=H","UseDPDF=Y")</f>
        <v>-78.418999999999997</v>
      </c>
      <c r="W16" s="13">
        <f>_xll.BDH("ALNY US Equity","INC_DEC_IN_OT_OP_AST_LIAB_DETAIL","FQ1 2024","FQ1 2024","Currency=USD","Period=FQ","BEST_FPERIOD_OVERRIDE=FQ","FILING_STATUS=MR","SCALING_FORMAT=MLN","Sort=A","Dates=H","DateFormat=P","Fill=—","Direction=H","UseDPDF=Y")</f>
        <v>-104.02500000000001</v>
      </c>
      <c r="X16" s="13">
        <f>_xll.BDH("ALNY US Equity","INC_DEC_IN_OT_OP_AST_LIAB_DETAIL","FQ2 2024","FQ2 2024","Currency=USD","Period=FQ","BEST_FPERIOD_OVERRIDE=FQ","FILING_STATUS=MR","SCALING_FORMAT=MLN","Sort=A","Dates=H","DateFormat=P","Fill=—","Direction=H","UseDPDF=Y")</f>
        <v>-59.651000000000003</v>
      </c>
      <c r="Y16" s="13">
        <f>_xll.BDH("ALNY US Equity","INC_DEC_IN_OT_OP_AST_LIAB_DETAIL","FQ3 2024","FQ3 2024","Currency=USD","Period=FQ","BEST_FPERIOD_OVERRIDE=FQ","FILING_STATUS=MR","SCALING_FORMAT=MLN","Sort=A","Dates=H","DateFormat=P","Fill=—","Direction=H","UseDPDF=Y")</f>
        <v>75.941999999999993</v>
      </c>
      <c r="Z16" s="13">
        <f>_xll.BDH("ALNY US Equity","INC_DEC_IN_OT_OP_AST_LIAB_DETAIL","FQ4 2024","FQ4 2024","Currency=USD","Period=FQ","BEST_FPERIOD_OVERRIDE=FQ","FILING_STATUS=MR","SCALING_FORMAT=MLN","Sort=A","Dates=H","DateFormat=P","Fill=—","Direction=H","UseDPDF=Y")</f>
        <v>-144.483</v>
      </c>
    </row>
    <row r="17" spans="1:26" x14ac:dyDescent="0.25">
      <c r="A17" s="10" t="s">
        <v>359</v>
      </c>
      <c r="B17" s="10" t="s">
        <v>360</v>
      </c>
      <c r="C17" s="13">
        <f>_xll.BDH("ALNY US Equity","CF_NET_CASH_DISCONT_OPS_OPER","FQ1 2019","FQ1 2019","Currency=USD","Period=FQ","BEST_FPERIOD_OVERRIDE=FQ","FILING_STATUS=MR","SCALING_FORMAT=MLN","Sort=A","Dates=H","DateFormat=P","Fill=—","Direction=H","UseDPDF=Y")</f>
        <v>0</v>
      </c>
      <c r="D17" s="13">
        <f>_xll.BDH("ALNY US Equity","CF_NET_CASH_DISCONT_OPS_OPER","FQ2 2019","FQ2 2019","Currency=USD","Period=FQ","BEST_FPERIOD_OVERRIDE=FQ","FILING_STATUS=MR","SCALING_FORMAT=MLN","Sort=A","Dates=H","DateFormat=P","Fill=—","Direction=H","UseDPDF=Y")</f>
        <v>0</v>
      </c>
      <c r="E17" s="13">
        <f>_xll.BDH("ALNY US Equity","CF_NET_CASH_DISCONT_OPS_OPER","FQ3 2019","FQ3 2019","Currency=USD","Period=FQ","BEST_FPERIOD_OVERRIDE=FQ","FILING_STATUS=MR","SCALING_FORMAT=MLN","Sort=A","Dates=H","DateFormat=P","Fill=—","Direction=H","UseDPDF=Y")</f>
        <v>0</v>
      </c>
      <c r="F17" s="13">
        <f>_xll.BDH("ALNY US Equity","CF_NET_CASH_DISCONT_OPS_OPER","FQ4 2019","FQ4 2019","Currency=USD","Period=FQ","BEST_FPERIOD_OVERRIDE=FQ","FILING_STATUS=MR","SCALING_FORMAT=MLN","Sort=A","Dates=H","DateFormat=P","Fill=—","Direction=H","UseDPDF=Y")</f>
        <v>0</v>
      </c>
      <c r="G17" s="13">
        <f>_xll.BDH("ALNY US Equity","CF_NET_CASH_DISCONT_OPS_OPER","FQ1 2020","FQ1 2020","Currency=USD","Period=FQ","BEST_FPERIOD_OVERRIDE=FQ","FILING_STATUS=MR","SCALING_FORMAT=MLN","Sort=A","Dates=H","DateFormat=P","Fill=—","Direction=H","UseDPDF=Y")</f>
        <v>0</v>
      </c>
      <c r="H17" s="13">
        <f>_xll.BDH("ALNY US Equity","CF_NET_CASH_DISCONT_OPS_OPER","FQ2 2020","FQ2 2020","Currency=USD","Period=FQ","BEST_FPERIOD_OVERRIDE=FQ","FILING_STATUS=MR","SCALING_FORMAT=MLN","Sort=A","Dates=H","DateFormat=P","Fill=—","Direction=H","UseDPDF=Y")</f>
        <v>0</v>
      </c>
      <c r="I17" s="13">
        <f>_xll.BDH("ALNY US Equity","CF_NET_CASH_DISCONT_OPS_OPER","FQ3 2020","FQ3 2020","Currency=USD","Period=FQ","BEST_FPERIOD_OVERRIDE=FQ","FILING_STATUS=MR","SCALING_FORMAT=MLN","Sort=A","Dates=H","DateFormat=P","Fill=—","Direction=H","UseDPDF=Y")</f>
        <v>0</v>
      </c>
      <c r="J17" s="13">
        <f>_xll.BDH("ALNY US Equity","CF_NET_CASH_DISCONT_OPS_OPER","FQ4 2020","FQ4 2020","Currency=USD","Period=FQ","BEST_FPERIOD_OVERRIDE=FQ","FILING_STATUS=MR","SCALING_FORMAT=MLN","Sort=A","Dates=H","DateFormat=P","Fill=—","Direction=H","UseDPDF=Y")</f>
        <v>0</v>
      </c>
      <c r="K17" s="13">
        <f>_xll.BDH("ALNY US Equity","CF_NET_CASH_DISCONT_OPS_OPER","FQ1 2021","FQ1 2021","Currency=USD","Period=FQ","BEST_FPERIOD_OVERRIDE=FQ","FILING_STATUS=MR","SCALING_FORMAT=MLN","Sort=A","Dates=H","DateFormat=P","Fill=—","Direction=H","UseDPDF=Y")</f>
        <v>0</v>
      </c>
      <c r="L17" s="13">
        <f>_xll.BDH("ALNY US Equity","CF_NET_CASH_DISCONT_OPS_OPER","FQ2 2021","FQ2 2021","Currency=USD","Period=FQ","BEST_FPERIOD_OVERRIDE=FQ","FILING_STATUS=MR","SCALING_FORMAT=MLN","Sort=A","Dates=H","DateFormat=P","Fill=—","Direction=H","UseDPDF=Y")</f>
        <v>0</v>
      </c>
      <c r="M17" s="13">
        <f>_xll.BDH("ALNY US Equity","CF_NET_CASH_DISCONT_OPS_OPER","FQ3 2021","FQ3 2021","Currency=USD","Period=FQ","BEST_FPERIOD_OVERRIDE=FQ","FILING_STATUS=MR","SCALING_FORMAT=MLN","Sort=A","Dates=H","DateFormat=P","Fill=—","Direction=H","UseDPDF=Y")</f>
        <v>0</v>
      </c>
      <c r="N17" s="13">
        <f>_xll.BDH("ALNY US Equity","CF_NET_CASH_DISCONT_OPS_OPER","FQ4 2021","FQ4 2021","Currency=USD","Period=FQ","BEST_FPERIOD_OVERRIDE=FQ","FILING_STATUS=MR","SCALING_FORMAT=MLN","Sort=A","Dates=H","DateFormat=P","Fill=—","Direction=H","UseDPDF=Y")</f>
        <v>0</v>
      </c>
      <c r="O17" s="13">
        <f>_xll.BDH("ALNY US Equity","CF_NET_CASH_DISCONT_OPS_OPER","FQ1 2022","FQ1 2022","Currency=USD","Period=FQ","BEST_FPERIOD_OVERRIDE=FQ","FILING_STATUS=MR","SCALING_FORMAT=MLN","Sort=A","Dates=H","DateFormat=P","Fill=—","Direction=H","UseDPDF=Y")</f>
        <v>0</v>
      </c>
      <c r="P17" s="13">
        <f>_xll.BDH("ALNY US Equity","CF_NET_CASH_DISCONT_OPS_OPER","FQ2 2022","FQ2 2022","Currency=USD","Period=FQ","BEST_FPERIOD_OVERRIDE=FQ","FILING_STATUS=MR","SCALING_FORMAT=MLN","Sort=A","Dates=H","DateFormat=P","Fill=—","Direction=H","UseDPDF=Y")</f>
        <v>0</v>
      </c>
      <c r="Q17" s="13">
        <f>_xll.BDH("ALNY US Equity","CF_NET_CASH_DISCONT_OPS_OPER","FQ3 2022","FQ3 2022","Currency=USD","Period=FQ","BEST_FPERIOD_OVERRIDE=FQ","FILING_STATUS=MR","SCALING_FORMAT=MLN","Sort=A","Dates=H","DateFormat=P","Fill=—","Direction=H","UseDPDF=Y")</f>
        <v>0</v>
      </c>
      <c r="R17" s="13">
        <f>_xll.BDH("ALNY US Equity","CF_NET_CASH_DISCONT_OPS_OPER","FQ4 2022","FQ4 2022","Currency=USD","Period=FQ","BEST_FPERIOD_OVERRIDE=FQ","FILING_STATUS=MR","SCALING_FORMAT=MLN","Sort=A","Dates=H","DateFormat=P","Fill=—","Direction=H","UseDPDF=Y")</f>
        <v>0</v>
      </c>
      <c r="S17" s="13">
        <f>_xll.BDH("ALNY US Equity","CF_NET_CASH_DISCONT_OPS_OPER","FQ1 2023","FQ1 2023","Currency=USD","Period=FQ","BEST_FPERIOD_OVERRIDE=FQ","FILING_STATUS=MR","SCALING_FORMAT=MLN","Sort=A","Dates=H","DateFormat=P","Fill=—","Direction=H","UseDPDF=Y")</f>
        <v>0</v>
      </c>
      <c r="T17" s="13">
        <f>_xll.BDH("ALNY US Equity","CF_NET_CASH_DISCONT_OPS_OPER","FQ2 2023","FQ2 2023","Currency=USD","Period=FQ","BEST_FPERIOD_OVERRIDE=FQ","FILING_STATUS=MR","SCALING_FORMAT=MLN","Sort=A","Dates=H","DateFormat=P","Fill=—","Direction=H","UseDPDF=Y")</f>
        <v>0</v>
      </c>
      <c r="U17" s="13">
        <f>_xll.BDH("ALNY US Equity","CF_NET_CASH_DISCONT_OPS_OPER","FQ3 2023","FQ3 2023","Currency=USD","Period=FQ","BEST_FPERIOD_OVERRIDE=FQ","FILING_STATUS=MR","SCALING_FORMAT=MLN","Sort=A","Dates=H","DateFormat=P","Fill=—","Direction=H","UseDPDF=Y")</f>
        <v>0</v>
      </c>
      <c r="V17" s="13">
        <f>_xll.BDH("ALNY US Equity","CF_NET_CASH_DISCONT_OPS_OPER","FQ4 2023","FQ4 2023","Currency=USD","Period=FQ","BEST_FPERIOD_OVERRIDE=FQ","FILING_STATUS=MR","SCALING_FORMAT=MLN","Sort=A","Dates=H","DateFormat=P","Fill=—","Direction=H","UseDPDF=Y")</f>
        <v>0</v>
      </c>
      <c r="W17" s="13">
        <f>_xll.BDH("ALNY US Equity","CF_NET_CASH_DISCONT_OPS_OPER","FQ1 2024","FQ1 2024","Currency=USD","Period=FQ","BEST_FPERIOD_OVERRIDE=FQ","FILING_STATUS=MR","SCALING_FORMAT=MLN","Sort=A","Dates=H","DateFormat=P","Fill=—","Direction=H","UseDPDF=Y")</f>
        <v>0</v>
      </c>
      <c r="X17" s="13">
        <f>_xll.BDH("ALNY US Equity","CF_NET_CASH_DISCONT_OPS_OPER","FQ2 2024","FQ2 2024","Currency=USD","Period=FQ","BEST_FPERIOD_OVERRIDE=FQ","FILING_STATUS=MR","SCALING_FORMAT=MLN","Sort=A","Dates=H","DateFormat=P","Fill=—","Direction=H","UseDPDF=Y")</f>
        <v>0</v>
      </c>
      <c r="Y17" s="13">
        <f>_xll.BDH("ALNY US Equity","CF_NET_CASH_DISCONT_OPS_OPER","FQ3 2024","FQ3 2024","Currency=USD","Period=FQ","BEST_FPERIOD_OVERRIDE=FQ","FILING_STATUS=MR","SCALING_FORMAT=MLN","Sort=A","Dates=H","DateFormat=P","Fill=—","Direction=H","UseDPDF=Y")</f>
        <v>0</v>
      </c>
      <c r="Z17" s="13">
        <f>_xll.BDH("ALNY US Equity","CF_NET_CASH_DISCONT_OPS_OPER","FQ4 2024","FQ4 2024","Currency=USD","Period=FQ","BEST_FPERIOD_OVERRIDE=FQ","FILING_STATUS=MR","SCALING_FORMAT=MLN","Sort=A","Dates=H","DateFormat=P","Fill=—","Direction=H","UseDPDF=Y")</f>
        <v>0</v>
      </c>
    </row>
    <row r="18" spans="1:26" x14ac:dyDescent="0.25">
      <c r="A18" s="6" t="s">
        <v>338</v>
      </c>
      <c r="B18" s="6" t="s">
        <v>361</v>
      </c>
      <c r="C18" s="16">
        <f>_xll.BDH("ALNY US Equity","CF_CASH_FROM_OPER","FQ1 2019","FQ1 2019","Currency=USD","Period=FQ","BEST_FPERIOD_OVERRIDE=FQ","FILING_STATUS=MR","SCALING_FORMAT=MLN","Sort=A","Dates=H","DateFormat=P","Fill=—","Direction=H","UseDPDF=Y")</f>
        <v>-188.51</v>
      </c>
      <c r="D18" s="16">
        <f>_xll.BDH("ALNY US Equity","CF_CASH_FROM_OPER","FQ2 2019","FQ2 2019","Currency=USD","Period=FQ","BEST_FPERIOD_OVERRIDE=FQ","FILING_STATUS=MR","SCALING_FORMAT=MLN","Sort=A","Dates=H","DateFormat=P","Fill=—","Direction=H","UseDPDF=Y")</f>
        <v>288.69499999999999</v>
      </c>
      <c r="E18" s="16">
        <f>_xll.BDH("ALNY US Equity","CF_CASH_FROM_OPER","FQ3 2019","FQ3 2019","Currency=USD","Period=FQ","BEST_FPERIOD_OVERRIDE=FQ","FILING_STATUS=MR","SCALING_FORMAT=MLN","Sort=A","Dates=H","DateFormat=P","Fill=—","Direction=H","UseDPDF=Y")</f>
        <v>-182.63200000000001</v>
      </c>
      <c r="F18" s="16">
        <f>_xll.BDH("ALNY US Equity","CF_CASH_FROM_OPER","FQ4 2019","FQ4 2019","Currency=USD","Period=FQ","BEST_FPERIOD_OVERRIDE=FQ","FILING_STATUS=MR","SCALING_FORMAT=MLN","Sort=A","Dates=H","DateFormat=P","Fill=—","Direction=H","UseDPDF=Y")</f>
        <v>-195.98</v>
      </c>
      <c r="G18" s="16">
        <f>_xll.BDH("ALNY US Equity","CF_CASH_FROM_OPER","FQ1 2020","FQ1 2020","Currency=USD","Period=FQ","BEST_FPERIOD_OVERRIDE=FQ","FILING_STATUS=MR","SCALING_FORMAT=MLN","Sort=A","Dates=H","DateFormat=P","Fill=—","Direction=H","UseDPDF=Y")</f>
        <v>-246.161</v>
      </c>
      <c r="H18" s="16">
        <f>_xll.BDH("ALNY US Equity","CF_CASH_FROM_OPER","FQ2 2020","FQ2 2020","Currency=USD","Period=FQ","BEST_FPERIOD_OVERRIDE=FQ","FILING_STATUS=MR","SCALING_FORMAT=MLN","Sort=A","Dates=H","DateFormat=P","Fill=—","Direction=H","UseDPDF=Y")</f>
        <v>-135.33000000000001</v>
      </c>
      <c r="I18" s="16">
        <f>_xll.BDH("ALNY US Equity","CF_CASH_FROM_OPER","FQ3 2020","FQ3 2020","Currency=USD","Period=FQ","BEST_FPERIOD_OVERRIDE=FQ","FILING_STATUS=MR","SCALING_FORMAT=MLN","Sort=A","Dates=H","DateFormat=P","Fill=—","Direction=H","UseDPDF=Y")</f>
        <v>-110.32599999999999</v>
      </c>
      <c r="J18" s="16">
        <f>_xll.BDH("ALNY US Equity","CF_CASH_FROM_OPER","FQ4 2020","FQ4 2020","Currency=USD","Period=FQ","BEST_FPERIOD_OVERRIDE=FQ","FILING_STATUS=MR","SCALING_FORMAT=MLN","Sort=A","Dates=H","DateFormat=P","Fill=—","Direction=H","UseDPDF=Y")</f>
        <v>-123.14400000000001</v>
      </c>
      <c r="K18" s="16">
        <f>_xll.BDH("ALNY US Equity","CF_CASH_FROM_OPER","FQ1 2021","FQ1 2021","Currency=USD","Period=FQ","BEST_FPERIOD_OVERRIDE=FQ","FILING_STATUS=MR","SCALING_FORMAT=MLN","Sort=A","Dates=H","DateFormat=P","Fill=—","Direction=H","UseDPDF=Y")</f>
        <v>-235.66</v>
      </c>
      <c r="L18" s="16">
        <f>_xll.BDH("ALNY US Equity","CF_CASH_FROM_OPER","FQ2 2021","FQ2 2021","Currency=USD","Period=FQ","BEST_FPERIOD_OVERRIDE=FQ","FILING_STATUS=MR","SCALING_FORMAT=MLN","Sort=A","Dates=H","DateFormat=P","Fill=—","Direction=H","UseDPDF=Y")</f>
        <v>-121.85599999999999</v>
      </c>
      <c r="M18" s="16">
        <f>_xll.BDH("ALNY US Equity","CF_CASH_FROM_OPER","FQ3 2021","FQ3 2021","Currency=USD","Period=FQ","BEST_FPERIOD_OVERRIDE=FQ","FILING_STATUS=MR","SCALING_FORMAT=MLN","Sort=A","Dates=H","DateFormat=P","Fill=—","Direction=H","UseDPDF=Y")</f>
        <v>-134.036</v>
      </c>
      <c r="N18" s="16">
        <f>_xll.BDH("ALNY US Equity","CF_CASH_FROM_OPER","FQ4 2021","FQ4 2021","Currency=USD","Period=FQ","BEST_FPERIOD_OVERRIDE=FQ","FILING_STATUS=MR","SCALING_FORMAT=MLN","Sort=A","Dates=H","DateFormat=P","Fill=—","Direction=H","UseDPDF=Y")</f>
        <v>-150.14099999999999</v>
      </c>
      <c r="O18" s="16">
        <f>_xll.BDH("ALNY US Equity","CF_CASH_FROM_OPER","FQ1 2022","FQ1 2022","Currency=USD","Period=FQ","BEST_FPERIOD_OVERRIDE=FQ","FILING_STATUS=MR","SCALING_FORMAT=MLN","Sort=A","Dates=H","DateFormat=P","Fill=—","Direction=H","UseDPDF=Y")</f>
        <v>-171.19300000000001</v>
      </c>
      <c r="P18" s="16">
        <f>_xll.BDH("ALNY US Equity","CF_CASH_FROM_OPER","FQ2 2022","FQ2 2022","Currency=USD","Period=FQ","BEST_FPERIOD_OVERRIDE=FQ","FILING_STATUS=MR","SCALING_FORMAT=MLN","Sort=A","Dates=H","DateFormat=P","Fill=—","Direction=H","UseDPDF=Y")</f>
        <v>-122.819</v>
      </c>
      <c r="Q18" s="16">
        <f>_xll.BDH("ALNY US Equity","CF_CASH_FROM_OPER","FQ3 2022","FQ3 2022","Currency=USD","Period=FQ","BEST_FPERIOD_OVERRIDE=FQ","FILING_STATUS=MR","SCALING_FORMAT=MLN","Sort=A","Dates=H","DateFormat=P","Fill=—","Direction=H","UseDPDF=Y")</f>
        <v>-115.28400000000001</v>
      </c>
      <c r="R18" s="16">
        <f>_xll.BDH("ALNY US Equity","CF_CASH_FROM_OPER","FQ4 2022","FQ4 2022","Currency=USD","Period=FQ","BEST_FPERIOD_OVERRIDE=FQ","FILING_STATUS=MR","SCALING_FORMAT=MLN","Sort=A","Dates=H","DateFormat=P","Fill=—","Direction=H","UseDPDF=Y")</f>
        <v>-131.97800000000001</v>
      </c>
      <c r="S18" s="16">
        <f>_xll.BDH("ALNY US Equity","CF_CASH_FROM_OPER","FQ1 2023","FQ1 2023","Currency=USD","Period=FQ","BEST_FPERIOD_OVERRIDE=FQ","FILING_STATUS=MR","SCALING_FORMAT=MLN","Sort=A","Dates=H","DateFormat=P","Fill=—","Direction=H","UseDPDF=Y")</f>
        <v>-166.47499999999999</v>
      </c>
      <c r="T18" s="16">
        <f>_xll.BDH("ALNY US Equity","CF_CASH_FROM_OPER","FQ2 2023","FQ2 2023","Currency=USD","Period=FQ","BEST_FPERIOD_OVERRIDE=FQ","FILING_STATUS=MR","SCALING_FORMAT=MLN","Sort=A","Dates=H","DateFormat=P","Fill=—","Direction=H","UseDPDF=Y")</f>
        <v>-58.985999999999997</v>
      </c>
      <c r="U18" s="16">
        <f>_xll.BDH("ALNY US Equity","CF_CASH_FROM_OPER","FQ3 2023","FQ3 2023","Currency=USD","Period=FQ","BEST_FPERIOD_OVERRIDE=FQ","FILING_STATUS=MR","SCALING_FORMAT=MLN","Sort=A","Dates=H","DateFormat=P","Fill=—","Direction=H","UseDPDF=Y")</f>
        <v>359.41199999999998</v>
      </c>
      <c r="V18" s="16">
        <f>_xll.BDH("ALNY US Equity","CF_CASH_FROM_OPER","FQ4 2023","FQ4 2023","Currency=USD","Period=FQ","BEST_FPERIOD_OVERRIDE=FQ","FILING_STATUS=MR","SCALING_FORMAT=MLN","Sort=A","Dates=H","DateFormat=P","Fill=—","Direction=H","UseDPDF=Y")</f>
        <v>-29.795000000000002</v>
      </c>
      <c r="W18" s="16">
        <f>_xll.BDH("ALNY US Equity","CF_CASH_FROM_OPER","FQ1 2024","FQ1 2024","Currency=USD","Period=FQ","BEST_FPERIOD_OVERRIDE=FQ","FILING_STATUS=MR","SCALING_FORMAT=MLN","Sort=A","Dates=H","DateFormat=P","Fill=—","Direction=H","UseDPDF=Y")</f>
        <v>-81.515000000000001</v>
      </c>
      <c r="X18" s="16">
        <f>_xll.BDH("ALNY US Equity","CF_CASH_FROM_OPER","FQ2 2024","FQ2 2024","Currency=USD","Period=FQ","BEST_FPERIOD_OVERRIDE=FQ","FILING_STATUS=MR","SCALING_FORMAT=MLN","Sort=A","Dates=H","DateFormat=P","Fill=—","Direction=H","UseDPDF=Y")</f>
        <v>124.158</v>
      </c>
      <c r="Y18" s="16">
        <f>_xll.BDH("ALNY US Equity","CF_CASH_FROM_OPER","FQ3 2024","FQ3 2024","Currency=USD","Period=FQ","BEST_FPERIOD_OVERRIDE=FQ","FILING_STATUS=MR","SCALING_FORMAT=MLN","Sort=A","Dates=H","DateFormat=P","Fill=—","Direction=H","UseDPDF=Y")</f>
        <v>43.707000000000001</v>
      </c>
      <c r="Z18" s="16">
        <f>_xll.BDH("ALNY US Equity","CF_CASH_FROM_OPER","FQ4 2024","FQ4 2024","Currency=USD","Period=FQ","BEST_FPERIOD_OVERRIDE=FQ","FILING_STATUS=MR","SCALING_FORMAT=MLN","Sort=A","Dates=H","DateFormat=P","Fill=—","Direction=H","UseDPDF=Y")</f>
        <v>-94.662000000000006</v>
      </c>
    </row>
    <row r="19" spans="1:26" x14ac:dyDescent="0.25">
      <c r="A19" s="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5">
      <c r="A20" s="6" t="s">
        <v>362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x14ac:dyDescent="0.25">
      <c r="A21" s="10" t="s">
        <v>363</v>
      </c>
      <c r="B21" s="10" t="s">
        <v>364</v>
      </c>
      <c r="C21" s="13">
        <f>_xll.BDH("ALNY US Equity","FIXED_INTANG_ASST_CHANGE","FQ1 2019","FQ1 2019","Currency=USD","Period=FQ","BEST_FPERIOD_OVERRIDE=FQ","FILING_STATUS=MR","SCALING_FORMAT=MLN","Sort=A","Dates=H","DateFormat=P","Fill=—","Direction=H","UseDPDF=Y")</f>
        <v>-44.048999999999999</v>
      </c>
      <c r="D21" s="13">
        <f>_xll.BDH("ALNY US Equity","FIXED_INTANG_ASST_CHANGE","FQ2 2019","FQ2 2019","Currency=USD","Period=FQ","BEST_FPERIOD_OVERRIDE=FQ","FILING_STATUS=MR","SCALING_FORMAT=MLN","Sort=A","Dates=H","DateFormat=P","Fill=—","Direction=H","UseDPDF=Y")</f>
        <v>-21.244</v>
      </c>
      <c r="E21" s="13">
        <f>_xll.BDH("ALNY US Equity","FIXED_INTANG_ASST_CHANGE","FQ3 2019","FQ3 2019","Currency=USD","Period=FQ","BEST_FPERIOD_OVERRIDE=FQ","FILING_STATUS=MR","SCALING_FORMAT=MLN","Sort=A","Dates=H","DateFormat=P","Fill=—","Direction=H","UseDPDF=Y")</f>
        <v>-36.058</v>
      </c>
      <c r="F21" s="13">
        <f>_xll.BDH("ALNY US Equity","FIXED_INTANG_ASST_CHANGE","FQ4 2019","FQ4 2019","Currency=USD","Period=FQ","BEST_FPERIOD_OVERRIDE=FQ","FILING_STATUS=MR","SCALING_FORMAT=MLN","Sort=A","Dates=H","DateFormat=P","Fill=—","Direction=H","UseDPDF=Y")</f>
        <v>-38.805</v>
      </c>
      <c r="G21" s="13">
        <f>_xll.BDH("ALNY US Equity","FIXED_INTANG_ASST_CHANGE","FQ1 2020","FQ1 2020","Currency=USD","Period=FQ","BEST_FPERIOD_OVERRIDE=FQ","FILING_STATUS=MR","SCALING_FORMAT=MLN","Sort=A","Dates=H","DateFormat=P","Fill=—","Direction=H","UseDPDF=Y")</f>
        <v>-19.617000000000001</v>
      </c>
      <c r="H21" s="13">
        <f>_xll.BDH("ALNY US Equity","FIXED_INTANG_ASST_CHANGE","FQ2 2020","FQ2 2020","Currency=USD","Period=FQ","BEST_FPERIOD_OVERRIDE=FQ","FILING_STATUS=MR","SCALING_FORMAT=MLN","Sort=A","Dates=H","DateFormat=P","Fill=—","Direction=H","UseDPDF=Y")</f>
        <v>-16.658000000000001</v>
      </c>
      <c r="I21" s="13">
        <f>_xll.BDH("ALNY US Equity","FIXED_INTANG_ASST_CHANGE","FQ3 2020","FQ3 2020","Currency=USD","Period=FQ","BEST_FPERIOD_OVERRIDE=FQ","FILING_STATUS=MR","SCALING_FORMAT=MLN","Sort=A","Dates=H","DateFormat=P","Fill=—","Direction=H","UseDPDF=Y")</f>
        <v>-12.417999999999999</v>
      </c>
      <c r="J21" s="13">
        <f>_xll.BDH("ALNY US Equity","FIXED_INTANG_ASST_CHANGE","FQ4 2020","FQ4 2020","Currency=USD","Period=FQ","BEST_FPERIOD_OVERRIDE=FQ","FILING_STATUS=MR","SCALING_FORMAT=MLN","Sort=A","Dates=H","DateFormat=P","Fill=—","Direction=H","UseDPDF=Y")</f>
        <v>-21.667999999999999</v>
      </c>
      <c r="K21" s="13">
        <f>_xll.BDH("ALNY US Equity","FIXED_INTANG_ASST_CHANGE","FQ1 2021","FQ1 2021","Currency=USD","Period=FQ","BEST_FPERIOD_OVERRIDE=FQ","FILING_STATUS=MR","SCALING_FORMAT=MLN","Sort=A","Dates=H","DateFormat=P","Fill=—","Direction=H","UseDPDF=Y")</f>
        <v>-17.178000000000001</v>
      </c>
      <c r="L21" s="13">
        <f>_xll.BDH("ALNY US Equity","FIXED_INTANG_ASST_CHANGE","FQ2 2021","FQ2 2021","Currency=USD","Period=FQ","BEST_FPERIOD_OVERRIDE=FQ","FILING_STATUS=MR","SCALING_FORMAT=MLN","Sort=A","Dates=H","DateFormat=P","Fill=—","Direction=H","UseDPDF=Y")</f>
        <v>-11.246</v>
      </c>
      <c r="M21" s="13">
        <f>_xll.BDH("ALNY US Equity","FIXED_INTANG_ASST_CHANGE","FQ3 2021","FQ3 2021","Currency=USD","Period=FQ","BEST_FPERIOD_OVERRIDE=FQ","FILING_STATUS=MR","SCALING_FORMAT=MLN","Sort=A","Dates=H","DateFormat=P","Fill=—","Direction=H","UseDPDF=Y")</f>
        <v>-26.062000000000001</v>
      </c>
      <c r="N21" s="13">
        <f>_xll.BDH("ALNY US Equity","FIXED_INTANG_ASST_CHANGE","FQ4 2021","FQ4 2021","Currency=USD","Period=FQ","BEST_FPERIOD_OVERRIDE=FQ","FILING_STATUS=MR","SCALING_FORMAT=MLN","Sort=A","Dates=H","DateFormat=P","Fill=—","Direction=H","UseDPDF=Y")</f>
        <v>-21.885999999999999</v>
      </c>
      <c r="O21" s="13">
        <f>_xll.BDH("ALNY US Equity","FIXED_INTANG_ASST_CHANGE","FQ1 2022","FQ1 2022","Currency=USD","Period=FQ","BEST_FPERIOD_OVERRIDE=FQ","FILING_STATUS=MR","SCALING_FORMAT=MLN","Sort=A","Dates=H","DateFormat=P","Fill=—","Direction=H","UseDPDF=Y")</f>
        <v>-17.859000000000002</v>
      </c>
      <c r="P21" s="13">
        <f>_xll.BDH("ALNY US Equity","FIXED_INTANG_ASST_CHANGE","FQ2 2022","FQ2 2022","Currency=USD","Period=FQ","BEST_FPERIOD_OVERRIDE=FQ","FILING_STATUS=MR","SCALING_FORMAT=MLN","Sort=A","Dates=H","DateFormat=P","Fill=—","Direction=H","UseDPDF=Y")</f>
        <v>-16.055</v>
      </c>
      <c r="Q21" s="13">
        <f>_xll.BDH("ALNY US Equity","FIXED_INTANG_ASST_CHANGE","FQ3 2022","FQ3 2022","Currency=USD","Period=FQ","BEST_FPERIOD_OVERRIDE=FQ","FILING_STATUS=MR","SCALING_FORMAT=MLN","Sort=A","Dates=H","DateFormat=P","Fill=—","Direction=H","UseDPDF=Y")</f>
        <v>-16.510000000000002</v>
      </c>
      <c r="R21" s="13">
        <f>_xll.BDH("ALNY US Equity","FIXED_INTANG_ASST_CHANGE","FQ4 2022","FQ4 2022","Currency=USD","Period=FQ","BEST_FPERIOD_OVERRIDE=FQ","FILING_STATUS=MR","SCALING_FORMAT=MLN","Sort=A","Dates=H","DateFormat=P","Fill=—","Direction=H","UseDPDF=Y")</f>
        <v>-21.635000000000002</v>
      </c>
      <c r="S21" s="13">
        <f>_xll.BDH("ALNY US Equity","FIXED_INTANG_ASST_CHANGE","FQ1 2023","FQ1 2023","Currency=USD","Period=FQ","BEST_FPERIOD_OVERRIDE=FQ","FILING_STATUS=MR","SCALING_FORMAT=MLN","Sort=A","Dates=H","DateFormat=P","Fill=—","Direction=H","UseDPDF=Y")</f>
        <v>-13.891</v>
      </c>
      <c r="T21" s="13">
        <f>_xll.BDH("ALNY US Equity","FIXED_INTANG_ASST_CHANGE","FQ2 2023","FQ2 2023","Currency=USD","Period=FQ","BEST_FPERIOD_OVERRIDE=FQ","FILING_STATUS=MR","SCALING_FORMAT=MLN","Sort=A","Dates=H","DateFormat=P","Fill=—","Direction=H","UseDPDF=Y")</f>
        <v>-15.919</v>
      </c>
      <c r="U21" s="13">
        <f>_xll.BDH("ALNY US Equity","FIXED_INTANG_ASST_CHANGE","FQ3 2023","FQ3 2023","Currency=USD","Period=FQ","BEST_FPERIOD_OVERRIDE=FQ","FILING_STATUS=MR","SCALING_FORMAT=MLN","Sort=A","Dates=H","DateFormat=P","Fill=—","Direction=H","UseDPDF=Y")</f>
        <v>-17.091999999999999</v>
      </c>
      <c r="V21" s="13">
        <f>_xll.BDH("ALNY US Equity","FIXED_INTANG_ASST_CHANGE","FQ4 2023","FQ4 2023","Currency=USD","Period=FQ","BEST_FPERIOD_OVERRIDE=FQ","FILING_STATUS=MR","SCALING_FORMAT=MLN","Sort=A","Dates=H","DateFormat=P","Fill=—","Direction=H","UseDPDF=Y")</f>
        <v>-15.308999999999999</v>
      </c>
      <c r="W21" s="13">
        <f>_xll.BDH("ALNY US Equity","FIXED_INTANG_ASST_CHANGE","FQ1 2024","FQ1 2024","Currency=USD","Period=FQ","BEST_FPERIOD_OVERRIDE=FQ","FILING_STATUS=MR","SCALING_FORMAT=MLN","Sort=A","Dates=H","DateFormat=P","Fill=—","Direction=H","UseDPDF=Y")</f>
        <v>-12.973000000000001</v>
      </c>
      <c r="X21" s="13">
        <f>_xll.BDH("ALNY US Equity","FIXED_INTANG_ASST_CHANGE","FQ2 2024","FQ2 2024","Currency=USD","Period=FQ","BEST_FPERIOD_OVERRIDE=FQ","FILING_STATUS=MR","SCALING_FORMAT=MLN","Sort=A","Dates=H","DateFormat=P","Fill=—","Direction=H","UseDPDF=Y")</f>
        <v>-8.0180000000000007</v>
      </c>
      <c r="Y21" s="13">
        <f>_xll.BDH("ALNY US Equity","FIXED_INTANG_ASST_CHANGE","FQ3 2024","FQ3 2024","Currency=USD","Period=FQ","BEST_FPERIOD_OVERRIDE=FQ","FILING_STATUS=MR","SCALING_FORMAT=MLN","Sort=A","Dates=H","DateFormat=P","Fill=—","Direction=H","UseDPDF=Y")</f>
        <v>-4.1920000000000002</v>
      </c>
      <c r="Z21" s="13">
        <f>_xll.BDH("ALNY US Equity","FIXED_INTANG_ASST_CHANGE","FQ4 2024","FQ4 2024","Currency=USD","Period=FQ","BEST_FPERIOD_OVERRIDE=FQ","FILING_STATUS=MR","SCALING_FORMAT=MLN","Sort=A","Dates=H","DateFormat=P","Fill=—","Direction=H","UseDPDF=Y")</f>
        <v>-9.0939999999999994</v>
      </c>
    </row>
    <row r="22" spans="1:26" x14ac:dyDescent="0.25">
      <c r="A22" s="10" t="s">
        <v>365</v>
      </c>
      <c r="B22" s="10" t="s">
        <v>366</v>
      </c>
      <c r="C22" s="13">
        <f>_xll.BDH("ALNY US Equity","DISPOSAL_OF_FIXED_INTANG","FQ1 2019","FQ1 2019","Currency=USD","Period=FQ","BEST_FPERIOD_OVERRIDE=FQ","FILING_STATUS=MR","SCALING_FORMAT=MLN","Sort=A","Dates=H","DateFormat=P","Fill=—","Direction=H","UseDPDF=Y")</f>
        <v>0</v>
      </c>
      <c r="D22" s="13">
        <f>_xll.BDH("ALNY US Equity","DISPOSAL_OF_FIXED_INTANG","FQ2 2019","FQ2 2019","Currency=USD","Period=FQ","BEST_FPERIOD_OVERRIDE=FQ","FILING_STATUS=MR","SCALING_FORMAT=MLN","Sort=A","Dates=H","DateFormat=P","Fill=—","Direction=H","UseDPDF=Y")</f>
        <v>0</v>
      </c>
      <c r="E22" s="13">
        <f>_xll.BDH("ALNY US Equity","DISPOSAL_OF_FIXED_INTANG","FQ3 2019","FQ3 2019","Currency=USD","Period=FQ","BEST_FPERIOD_OVERRIDE=FQ","FILING_STATUS=MR","SCALING_FORMAT=MLN","Sort=A","Dates=H","DateFormat=P","Fill=—","Direction=H","UseDPDF=Y")</f>
        <v>0</v>
      </c>
      <c r="F22" s="13">
        <f>_xll.BDH("ALNY US Equity","DISPOSAL_OF_FIXED_INTANG","FQ4 2019","FQ4 2019","Currency=USD","Period=FQ","BEST_FPERIOD_OVERRIDE=FQ","FILING_STATUS=MR","SCALING_FORMAT=MLN","Sort=A","Dates=H","DateFormat=P","Fill=—","Direction=H","UseDPDF=Y")</f>
        <v>0</v>
      </c>
      <c r="G22" s="13">
        <f>_xll.BDH("ALNY US Equity","DISPOSAL_OF_FIXED_INTANG","FQ1 2020","FQ1 2020","Currency=USD","Period=FQ","BEST_FPERIOD_OVERRIDE=FQ","FILING_STATUS=MR","SCALING_FORMAT=MLN","Sort=A","Dates=H","DateFormat=P","Fill=—","Direction=H","UseDPDF=Y")</f>
        <v>0</v>
      </c>
      <c r="H22" s="13">
        <f>_xll.BDH("ALNY US Equity","DISPOSAL_OF_FIXED_INTANG","FQ2 2020","FQ2 2020","Currency=USD","Period=FQ","BEST_FPERIOD_OVERRIDE=FQ","FILING_STATUS=MR","SCALING_FORMAT=MLN","Sort=A","Dates=H","DateFormat=P","Fill=—","Direction=H","UseDPDF=Y")</f>
        <v>0</v>
      </c>
      <c r="I22" s="13">
        <f>_xll.BDH("ALNY US Equity","DISPOSAL_OF_FIXED_INTANG","FQ3 2020","FQ3 2020","Currency=USD","Period=FQ","BEST_FPERIOD_OVERRIDE=FQ","FILING_STATUS=MR","SCALING_FORMAT=MLN","Sort=A","Dates=H","DateFormat=P","Fill=—","Direction=H","UseDPDF=Y")</f>
        <v>0</v>
      </c>
      <c r="J22" s="13">
        <f>_xll.BDH("ALNY US Equity","DISPOSAL_OF_FIXED_INTANG","FQ4 2020","FQ4 2020","Currency=USD","Period=FQ","BEST_FPERIOD_OVERRIDE=FQ","FILING_STATUS=MR","SCALING_FORMAT=MLN","Sort=A","Dates=H","DateFormat=P","Fill=—","Direction=H","UseDPDF=Y")</f>
        <v>0</v>
      </c>
      <c r="K22" s="13">
        <f>_xll.BDH("ALNY US Equity","DISPOSAL_OF_FIXED_INTANG","FQ1 2021","FQ1 2021","Currency=USD","Period=FQ","BEST_FPERIOD_OVERRIDE=FQ","FILING_STATUS=MR","SCALING_FORMAT=MLN","Sort=A","Dates=H","DateFormat=P","Fill=—","Direction=H","UseDPDF=Y")</f>
        <v>0</v>
      </c>
      <c r="L22" s="13">
        <f>_xll.BDH("ALNY US Equity","DISPOSAL_OF_FIXED_INTANG","FQ2 2021","FQ2 2021","Currency=USD","Period=FQ","BEST_FPERIOD_OVERRIDE=FQ","FILING_STATUS=MR","SCALING_FORMAT=MLN","Sort=A","Dates=H","DateFormat=P","Fill=—","Direction=H","UseDPDF=Y")</f>
        <v>0</v>
      </c>
      <c r="M22" s="13">
        <f>_xll.BDH("ALNY US Equity","DISPOSAL_OF_FIXED_INTANG","FQ3 2021","FQ3 2021","Currency=USD","Period=FQ","BEST_FPERIOD_OVERRIDE=FQ","FILING_STATUS=MR","SCALING_FORMAT=MLN","Sort=A","Dates=H","DateFormat=P","Fill=—","Direction=H","UseDPDF=Y")</f>
        <v>0</v>
      </c>
      <c r="N22" s="13">
        <f>_xll.BDH("ALNY US Equity","DISPOSAL_OF_FIXED_INTANG","FQ4 2021","FQ4 2021","Currency=USD","Period=FQ","BEST_FPERIOD_OVERRIDE=FQ","FILING_STATUS=MR","SCALING_FORMAT=MLN","Sort=A","Dates=H","DateFormat=P","Fill=—","Direction=H","UseDPDF=Y")</f>
        <v>0</v>
      </c>
      <c r="O22" s="13">
        <f>_xll.BDH("ALNY US Equity","DISPOSAL_OF_FIXED_INTANG","FQ1 2022","FQ1 2022","Currency=USD","Period=FQ","BEST_FPERIOD_OVERRIDE=FQ","FILING_STATUS=MR","SCALING_FORMAT=MLN","Sort=A","Dates=H","DateFormat=P","Fill=—","Direction=H","UseDPDF=Y")</f>
        <v>0</v>
      </c>
      <c r="P22" s="13">
        <f>_xll.BDH("ALNY US Equity","DISPOSAL_OF_FIXED_INTANG","FQ2 2022","FQ2 2022","Currency=USD","Period=FQ","BEST_FPERIOD_OVERRIDE=FQ","FILING_STATUS=MR","SCALING_FORMAT=MLN","Sort=A","Dates=H","DateFormat=P","Fill=—","Direction=H","UseDPDF=Y")</f>
        <v>0</v>
      </c>
      <c r="Q22" s="13">
        <f>_xll.BDH("ALNY US Equity","DISPOSAL_OF_FIXED_INTANG","FQ3 2022","FQ3 2022","Currency=USD","Period=FQ","BEST_FPERIOD_OVERRIDE=FQ","FILING_STATUS=MR","SCALING_FORMAT=MLN","Sort=A","Dates=H","DateFormat=P","Fill=—","Direction=H","UseDPDF=Y")</f>
        <v>0</v>
      </c>
      <c r="R22" s="13">
        <f>_xll.BDH("ALNY US Equity","DISPOSAL_OF_FIXED_INTANG","FQ4 2022","FQ4 2022","Currency=USD","Period=FQ","BEST_FPERIOD_OVERRIDE=FQ","FILING_STATUS=MR","SCALING_FORMAT=MLN","Sort=A","Dates=H","DateFormat=P","Fill=—","Direction=H","UseDPDF=Y")</f>
        <v>0</v>
      </c>
      <c r="S22" s="13">
        <f>_xll.BDH("ALNY US Equity","DISPOSAL_OF_FIXED_INTANG","FQ1 2023","FQ1 2023","Currency=USD","Period=FQ","BEST_FPERIOD_OVERRIDE=FQ","FILING_STATUS=MR","SCALING_FORMAT=MLN","Sort=A","Dates=H","DateFormat=P","Fill=—","Direction=H","UseDPDF=Y")</f>
        <v>0</v>
      </c>
      <c r="T22" s="13">
        <f>_xll.BDH("ALNY US Equity","DISPOSAL_OF_FIXED_INTANG","FQ2 2023","FQ2 2023","Currency=USD","Period=FQ","BEST_FPERIOD_OVERRIDE=FQ","FILING_STATUS=MR","SCALING_FORMAT=MLN","Sort=A","Dates=H","DateFormat=P","Fill=—","Direction=H","UseDPDF=Y")</f>
        <v>0</v>
      </c>
      <c r="U22" s="13">
        <f>_xll.BDH("ALNY US Equity","DISPOSAL_OF_FIXED_INTANG","FQ3 2023","FQ3 2023","Currency=USD","Period=FQ","BEST_FPERIOD_OVERRIDE=FQ","FILING_STATUS=MR","SCALING_FORMAT=MLN","Sort=A","Dates=H","DateFormat=P","Fill=—","Direction=H","UseDPDF=Y")</f>
        <v>0</v>
      </c>
      <c r="V22" s="13">
        <f>_xll.BDH("ALNY US Equity","DISPOSAL_OF_FIXED_INTANG","FQ4 2023","FQ4 2023","Currency=USD","Period=FQ","BEST_FPERIOD_OVERRIDE=FQ","FILING_STATUS=MR","SCALING_FORMAT=MLN","Sort=A","Dates=H","DateFormat=P","Fill=—","Direction=H","UseDPDF=Y")</f>
        <v>0</v>
      </c>
      <c r="W22" s="13">
        <f>_xll.BDH("ALNY US Equity","DISPOSAL_OF_FIXED_INTANG","FQ1 2024","FQ1 2024","Currency=USD","Period=FQ","BEST_FPERIOD_OVERRIDE=FQ","FILING_STATUS=MR","SCALING_FORMAT=MLN","Sort=A","Dates=H","DateFormat=P","Fill=—","Direction=H","UseDPDF=Y")</f>
        <v>0</v>
      </c>
      <c r="X22" s="13">
        <f>_xll.BDH("ALNY US Equity","DISPOSAL_OF_FIXED_INTANG","FQ2 2024","FQ2 2024","Currency=USD","Period=FQ","BEST_FPERIOD_OVERRIDE=FQ","FILING_STATUS=MR","SCALING_FORMAT=MLN","Sort=A","Dates=H","DateFormat=P","Fill=—","Direction=H","UseDPDF=Y")</f>
        <v>0</v>
      </c>
      <c r="Y22" s="13">
        <f>_xll.BDH("ALNY US Equity","DISPOSAL_OF_FIXED_INTANG","FQ3 2024","FQ3 2024","Currency=USD","Period=FQ","BEST_FPERIOD_OVERRIDE=FQ","FILING_STATUS=MR","SCALING_FORMAT=MLN","Sort=A","Dates=H","DateFormat=P","Fill=—","Direction=H","UseDPDF=Y")</f>
        <v>0</v>
      </c>
      <c r="Z22" s="13">
        <f>_xll.BDH("ALNY US Equity","DISPOSAL_OF_FIXED_INTANG","FQ4 2024","FQ4 2024","Currency=USD","Period=FQ","BEST_FPERIOD_OVERRIDE=FQ","FILING_STATUS=MR","SCALING_FORMAT=MLN","Sort=A","Dates=H","DateFormat=P","Fill=—","Direction=H","UseDPDF=Y")</f>
        <v>0</v>
      </c>
    </row>
    <row r="23" spans="1:26" x14ac:dyDescent="0.25">
      <c r="A23" s="11" t="s">
        <v>367</v>
      </c>
      <c r="B23" s="11" t="s">
        <v>368</v>
      </c>
      <c r="C23" s="18">
        <f>_xll.BDH("ALNY US Equity","CF_DISPOSAL_OF_FIXED_PROD_ASSETS","FQ1 2019","FQ1 2019","Currency=USD","Period=FQ","BEST_FPERIOD_OVERRIDE=FQ","FILING_STATUS=MR","SCALING_FORMAT=MLN","Sort=A","Dates=H","DateFormat=P","Fill=—","Direction=H","UseDPDF=Y")</f>
        <v>0</v>
      </c>
      <c r="D23" s="18">
        <f>_xll.BDH("ALNY US Equity","CF_DISPOSAL_OF_FIXED_PROD_ASSETS","FQ2 2019","FQ2 2019","Currency=USD","Period=FQ","BEST_FPERIOD_OVERRIDE=FQ","FILING_STATUS=MR","SCALING_FORMAT=MLN","Sort=A","Dates=H","DateFormat=P","Fill=—","Direction=H","UseDPDF=Y")</f>
        <v>0</v>
      </c>
      <c r="E23" s="18">
        <f>_xll.BDH("ALNY US Equity","CF_DISPOSAL_OF_FIXED_PROD_ASSETS","FQ3 2019","FQ3 2019","Currency=USD","Period=FQ","BEST_FPERIOD_OVERRIDE=FQ","FILING_STATUS=MR","SCALING_FORMAT=MLN","Sort=A","Dates=H","DateFormat=P","Fill=—","Direction=H","UseDPDF=Y")</f>
        <v>0</v>
      </c>
      <c r="F23" s="18">
        <f>_xll.BDH("ALNY US Equity","CF_DISPOSAL_OF_FIXED_PROD_ASSETS","FQ4 2019","FQ4 2019","Currency=USD","Period=FQ","BEST_FPERIOD_OVERRIDE=FQ","FILING_STATUS=MR","SCALING_FORMAT=MLN","Sort=A","Dates=H","DateFormat=P","Fill=—","Direction=H","UseDPDF=Y")</f>
        <v>0</v>
      </c>
      <c r="G23" s="18">
        <f>_xll.BDH("ALNY US Equity","CF_DISPOSAL_OF_FIXED_PROD_ASSETS","FQ1 2020","FQ1 2020","Currency=USD","Period=FQ","BEST_FPERIOD_OVERRIDE=FQ","FILING_STATUS=MR","SCALING_FORMAT=MLN","Sort=A","Dates=H","DateFormat=P","Fill=—","Direction=H","UseDPDF=Y")</f>
        <v>0</v>
      </c>
      <c r="H23" s="18">
        <f>_xll.BDH("ALNY US Equity","CF_DISPOSAL_OF_FIXED_PROD_ASSETS","FQ2 2020","FQ2 2020","Currency=USD","Period=FQ","BEST_FPERIOD_OVERRIDE=FQ","FILING_STATUS=MR","SCALING_FORMAT=MLN","Sort=A","Dates=H","DateFormat=P","Fill=—","Direction=H","UseDPDF=Y")</f>
        <v>0</v>
      </c>
      <c r="I23" s="18">
        <f>_xll.BDH("ALNY US Equity","CF_DISPOSAL_OF_FIXED_PROD_ASSETS","FQ3 2020","FQ3 2020","Currency=USD","Period=FQ","BEST_FPERIOD_OVERRIDE=FQ","FILING_STATUS=MR","SCALING_FORMAT=MLN","Sort=A","Dates=H","DateFormat=P","Fill=—","Direction=H","UseDPDF=Y")</f>
        <v>0</v>
      </c>
      <c r="J23" s="18">
        <f>_xll.BDH("ALNY US Equity","CF_DISPOSAL_OF_FIXED_PROD_ASSETS","FQ4 2020","FQ4 2020","Currency=USD","Period=FQ","BEST_FPERIOD_OVERRIDE=FQ","FILING_STATUS=MR","SCALING_FORMAT=MLN","Sort=A","Dates=H","DateFormat=P","Fill=—","Direction=H","UseDPDF=Y")</f>
        <v>0</v>
      </c>
      <c r="K23" s="18">
        <f>_xll.BDH("ALNY US Equity","CF_DISPOSAL_OF_FIXED_PROD_ASSETS","FQ1 2021","FQ1 2021","Currency=USD","Period=FQ","BEST_FPERIOD_OVERRIDE=FQ","FILING_STATUS=MR","SCALING_FORMAT=MLN","Sort=A","Dates=H","DateFormat=P","Fill=—","Direction=H","UseDPDF=Y")</f>
        <v>0</v>
      </c>
      <c r="L23" s="18">
        <f>_xll.BDH("ALNY US Equity","CF_DISPOSAL_OF_FIXED_PROD_ASSETS","FQ2 2021","FQ2 2021","Currency=USD","Period=FQ","BEST_FPERIOD_OVERRIDE=FQ","FILING_STATUS=MR","SCALING_FORMAT=MLN","Sort=A","Dates=H","DateFormat=P","Fill=—","Direction=H","UseDPDF=Y")</f>
        <v>0</v>
      </c>
      <c r="M23" s="18">
        <f>_xll.BDH("ALNY US Equity","CF_DISPOSAL_OF_FIXED_PROD_ASSETS","FQ3 2021","FQ3 2021","Currency=USD","Period=FQ","BEST_FPERIOD_OVERRIDE=FQ","FILING_STATUS=MR","SCALING_FORMAT=MLN","Sort=A","Dates=H","DateFormat=P","Fill=—","Direction=H","UseDPDF=Y")</f>
        <v>0</v>
      </c>
      <c r="N23" s="18">
        <f>_xll.BDH("ALNY US Equity","CF_DISPOSAL_OF_FIXED_PROD_ASSETS","FQ4 2021","FQ4 2021","Currency=USD","Period=FQ","BEST_FPERIOD_OVERRIDE=FQ","FILING_STATUS=MR","SCALING_FORMAT=MLN","Sort=A","Dates=H","DateFormat=P","Fill=—","Direction=H","UseDPDF=Y")</f>
        <v>0</v>
      </c>
      <c r="O23" s="18">
        <f>_xll.BDH("ALNY US Equity","CF_DISPOSAL_OF_FIXED_PROD_ASSETS","FQ1 2022","FQ1 2022","Currency=USD","Period=FQ","BEST_FPERIOD_OVERRIDE=FQ","FILING_STATUS=MR","SCALING_FORMAT=MLN","Sort=A","Dates=H","DateFormat=P","Fill=—","Direction=H","UseDPDF=Y")</f>
        <v>0</v>
      </c>
      <c r="P23" s="18">
        <f>_xll.BDH("ALNY US Equity","CF_DISPOSAL_OF_FIXED_PROD_ASSETS","FQ2 2022","FQ2 2022","Currency=USD","Period=FQ","BEST_FPERIOD_OVERRIDE=FQ","FILING_STATUS=MR","SCALING_FORMAT=MLN","Sort=A","Dates=H","DateFormat=P","Fill=—","Direction=H","UseDPDF=Y")</f>
        <v>0</v>
      </c>
      <c r="Q23" s="18">
        <f>_xll.BDH("ALNY US Equity","CF_DISPOSAL_OF_FIXED_PROD_ASSETS","FQ3 2022","FQ3 2022","Currency=USD","Period=FQ","BEST_FPERIOD_OVERRIDE=FQ","FILING_STATUS=MR","SCALING_FORMAT=MLN","Sort=A","Dates=H","DateFormat=P","Fill=—","Direction=H","UseDPDF=Y")</f>
        <v>0</v>
      </c>
      <c r="R23" s="18">
        <f>_xll.BDH("ALNY US Equity","CF_DISPOSAL_OF_FIXED_PROD_ASSETS","FQ4 2022","FQ4 2022","Currency=USD","Period=FQ","BEST_FPERIOD_OVERRIDE=FQ","FILING_STATUS=MR","SCALING_FORMAT=MLN","Sort=A","Dates=H","DateFormat=P","Fill=—","Direction=H","UseDPDF=Y")</f>
        <v>0</v>
      </c>
      <c r="S23" s="18">
        <f>_xll.BDH("ALNY US Equity","CF_DISPOSAL_OF_FIXED_PROD_ASSETS","FQ1 2023","FQ1 2023","Currency=USD","Period=FQ","BEST_FPERIOD_OVERRIDE=FQ","FILING_STATUS=MR","SCALING_FORMAT=MLN","Sort=A","Dates=H","DateFormat=P","Fill=—","Direction=H","UseDPDF=Y")</f>
        <v>0</v>
      </c>
      <c r="T23" s="18">
        <f>_xll.BDH("ALNY US Equity","CF_DISPOSAL_OF_FIXED_PROD_ASSETS","FQ2 2023","FQ2 2023","Currency=USD","Period=FQ","BEST_FPERIOD_OVERRIDE=FQ","FILING_STATUS=MR","SCALING_FORMAT=MLN","Sort=A","Dates=H","DateFormat=P","Fill=—","Direction=H","UseDPDF=Y")</f>
        <v>0</v>
      </c>
      <c r="U23" s="18">
        <f>_xll.BDH("ALNY US Equity","CF_DISPOSAL_OF_FIXED_PROD_ASSETS","FQ3 2023","FQ3 2023","Currency=USD","Period=FQ","BEST_FPERIOD_OVERRIDE=FQ","FILING_STATUS=MR","SCALING_FORMAT=MLN","Sort=A","Dates=H","DateFormat=P","Fill=—","Direction=H","UseDPDF=Y")</f>
        <v>0</v>
      </c>
      <c r="V23" s="18">
        <f>_xll.BDH("ALNY US Equity","CF_DISPOSAL_OF_FIXED_PROD_ASSETS","FQ4 2023","FQ4 2023","Currency=USD","Period=FQ","BEST_FPERIOD_OVERRIDE=FQ","FILING_STATUS=MR","SCALING_FORMAT=MLN","Sort=A","Dates=H","DateFormat=P","Fill=—","Direction=H","UseDPDF=Y")</f>
        <v>0</v>
      </c>
      <c r="W23" s="18">
        <f>_xll.BDH("ALNY US Equity","CF_DISPOSAL_OF_FIXED_PROD_ASSETS","FQ1 2024","FQ1 2024","Currency=USD","Period=FQ","BEST_FPERIOD_OVERRIDE=FQ","FILING_STATUS=MR","SCALING_FORMAT=MLN","Sort=A","Dates=H","DateFormat=P","Fill=—","Direction=H","UseDPDF=Y")</f>
        <v>0</v>
      </c>
      <c r="X23" s="18" t="str">
        <f>_xll.BDH("ALNY US Equity","CF_DISPOSAL_OF_FIXED_PROD_ASSETS","FQ2 2024","FQ2 2024","Currency=USD","Period=FQ","BEST_FPERIOD_OVERRIDE=FQ","FILING_STATUS=MR","SCALING_FORMAT=MLN","Sort=A","Dates=H","DateFormat=P","Fill=—","Direction=H","UseDPDF=Y")</f>
        <v>—</v>
      </c>
      <c r="Y23" s="18" t="str">
        <f>_xll.BDH("ALNY US Equity","CF_DISPOSAL_OF_FIXED_PROD_ASSETS","FQ3 2024","FQ3 2024","Currency=USD","Period=FQ","BEST_FPERIOD_OVERRIDE=FQ","FILING_STATUS=MR","SCALING_FORMAT=MLN","Sort=A","Dates=H","DateFormat=P","Fill=—","Direction=H","UseDPDF=Y")</f>
        <v>—</v>
      </c>
      <c r="Z23" s="18">
        <f>_xll.BDH("ALNY US Equity","CF_DISPOSAL_OF_FIXED_PROD_ASSETS","FQ4 2024","FQ4 2024","Currency=USD","Period=FQ","BEST_FPERIOD_OVERRIDE=FQ","FILING_STATUS=MR","SCALING_FORMAT=MLN","Sort=A","Dates=H","DateFormat=P","Fill=—","Direction=H","UseDPDF=Y")</f>
        <v>0</v>
      </c>
    </row>
    <row r="24" spans="1:26" x14ac:dyDescent="0.25">
      <c r="A24" s="11" t="s">
        <v>369</v>
      </c>
      <c r="B24" s="11" t="s">
        <v>370</v>
      </c>
      <c r="C24" s="18">
        <f>_xll.BDH("ALNY US Equity","CF_DISPOSAL_OF_INTANGIBLE_ASSETS","FQ1 2019","FQ1 2019","Currency=USD","Period=FQ","BEST_FPERIOD_OVERRIDE=FQ","FILING_STATUS=MR","SCALING_FORMAT=MLN","Sort=A","Dates=H","DateFormat=P","Fill=—","Direction=H","UseDPDF=Y")</f>
        <v>0</v>
      </c>
      <c r="D24" s="18">
        <f>_xll.BDH("ALNY US Equity","CF_DISPOSAL_OF_INTANGIBLE_ASSETS","FQ2 2019","FQ2 2019","Currency=USD","Period=FQ","BEST_FPERIOD_OVERRIDE=FQ","FILING_STATUS=MR","SCALING_FORMAT=MLN","Sort=A","Dates=H","DateFormat=P","Fill=—","Direction=H","UseDPDF=Y")</f>
        <v>0</v>
      </c>
      <c r="E24" s="18">
        <f>_xll.BDH("ALNY US Equity","CF_DISPOSAL_OF_INTANGIBLE_ASSETS","FQ3 2019","FQ3 2019","Currency=USD","Period=FQ","BEST_FPERIOD_OVERRIDE=FQ","FILING_STATUS=MR","SCALING_FORMAT=MLN","Sort=A","Dates=H","DateFormat=P","Fill=—","Direction=H","UseDPDF=Y")</f>
        <v>0</v>
      </c>
      <c r="F24" s="18">
        <f>_xll.BDH("ALNY US Equity","CF_DISPOSAL_OF_INTANGIBLE_ASSETS","FQ4 2019","FQ4 2019","Currency=USD","Period=FQ","BEST_FPERIOD_OVERRIDE=FQ","FILING_STATUS=MR","SCALING_FORMAT=MLN","Sort=A","Dates=H","DateFormat=P","Fill=—","Direction=H","UseDPDF=Y")</f>
        <v>0</v>
      </c>
      <c r="G24" s="18">
        <f>_xll.BDH("ALNY US Equity","CF_DISPOSAL_OF_INTANGIBLE_ASSETS","FQ1 2020","FQ1 2020","Currency=USD","Period=FQ","BEST_FPERIOD_OVERRIDE=FQ","FILING_STATUS=MR","SCALING_FORMAT=MLN","Sort=A","Dates=H","DateFormat=P","Fill=—","Direction=H","UseDPDF=Y")</f>
        <v>0</v>
      </c>
      <c r="H24" s="18">
        <f>_xll.BDH("ALNY US Equity","CF_DISPOSAL_OF_INTANGIBLE_ASSETS","FQ2 2020","FQ2 2020","Currency=USD","Period=FQ","BEST_FPERIOD_OVERRIDE=FQ","FILING_STATUS=MR","SCALING_FORMAT=MLN","Sort=A","Dates=H","DateFormat=P","Fill=—","Direction=H","UseDPDF=Y")</f>
        <v>0</v>
      </c>
      <c r="I24" s="18">
        <f>_xll.BDH("ALNY US Equity","CF_DISPOSAL_OF_INTANGIBLE_ASSETS","FQ3 2020","FQ3 2020","Currency=USD","Period=FQ","BEST_FPERIOD_OVERRIDE=FQ","FILING_STATUS=MR","SCALING_FORMAT=MLN","Sort=A","Dates=H","DateFormat=P","Fill=—","Direction=H","UseDPDF=Y")</f>
        <v>0</v>
      </c>
      <c r="J24" s="18">
        <f>_xll.BDH("ALNY US Equity","CF_DISPOSAL_OF_INTANGIBLE_ASSETS","FQ4 2020","FQ4 2020","Currency=USD","Period=FQ","BEST_FPERIOD_OVERRIDE=FQ","FILING_STATUS=MR","SCALING_FORMAT=MLN","Sort=A","Dates=H","DateFormat=P","Fill=—","Direction=H","UseDPDF=Y")</f>
        <v>0</v>
      </c>
      <c r="K24" s="18">
        <f>_xll.BDH("ALNY US Equity","CF_DISPOSAL_OF_INTANGIBLE_ASSETS","FQ1 2021","FQ1 2021","Currency=USD","Period=FQ","BEST_FPERIOD_OVERRIDE=FQ","FILING_STATUS=MR","SCALING_FORMAT=MLN","Sort=A","Dates=H","DateFormat=P","Fill=—","Direction=H","UseDPDF=Y")</f>
        <v>0</v>
      </c>
      <c r="L24" s="18">
        <f>_xll.BDH("ALNY US Equity","CF_DISPOSAL_OF_INTANGIBLE_ASSETS","FQ2 2021","FQ2 2021","Currency=USD","Period=FQ","BEST_FPERIOD_OVERRIDE=FQ","FILING_STATUS=MR","SCALING_FORMAT=MLN","Sort=A","Dates=H","DateFormat=P","Fill=—","Direction=H","UseDPDF=Y")</f>
        <v>0</v>
      </c>
      <c r="M24" s="18">
        <f>_xll.BDH("ALNY US Equity","CF_DISPOSAL_OF_INTANGIBLE_ASSETS","FQ3 2021","FQ3 2021","Currency=USD","Period=FQ","BEST_FPERIOD_OVERRIDE=FQ","FILING_STATUS=MR","SCALING_FORMAT=MLN","Sort=A","Dates=H","DateFormat=P","Fill=—","Direction=H","UseDPDF=Y")</f>
        <v>0</v>
      </c>
      <c r="N24" s="18">
        <f>_xll.BDH("ALNY US Equity","CF_DISPOSAL_OF_INTANGIBLE_ASSETS","FQ4 2021","FQ4 2021","Currency=USD","Period=FQ","BEST_FPERIOD_OVERRIDE=FQ","FILING_STATUS=MR","SCALING_FORMAT=MLN","Sort=A","Dates=H","DateFormat=P","Fill=—","Direction=H","UseDPDF=Y")</f>
        <v>0</v>
      </c>
      <c r="O24" s="18">
        <f>_xll.BDH("ALNY US Equity","CF_DISPOSAL_OF_INTANGIBLE_ASSETS","FQ1 2022","FQ1 2022","Currency=USD","Period=FQ","BEST_FPERIOD_OVERRIDE=FQ","FILING_STATUS=MR","SCALING_FORMAT=MLN","Sort=A","Dates=H","DateFormat=P","Fill=—","Direction=H","UseDPDF=Y")</f>
        <v>0</v>
      </c>
      <c r="P24" s="18">
        <f>_xll.BDH("ALNY US Equity","CF_DISPOSAL_OF_INTANGIBLE_ASSETS","FQ2 2022","FQ2 2022","Currency=USD","Period=FQ","BEST_FPERIOD_OVERRIDE=FQ","FILING_STATUS=MR","SCALING_FORMAT=MLN","Sort=A","Dates=H","DateFormat=P","Fill=—","Direction=H","UseDPDF=Y")</f>
        <v>0</v>
      </c>
      <c r="Q24" s="18">
        <f>_xll.BDH("ALNY US Equity","CF_DISPOSAL_OF_INTANGIBLE_ASSETS","FQ3 2022","FQ3 2022","Currency=USD","Period=FQ","BEST_FPERIOD_OVERRIDE=FQ","FILING_STATUS=MR","SCALING_FORMAT=MLN","Sort=A","Dates=H","DateFormat=P","Fill=—","Direction=H","UseDPDF=Y")</f>
        <v>0</v>
      </c>
      <c r="R24" s="18">
        <f>_xll.BDH("ALNY US Equity","CF_DISPOSAL_OF_INTANGIBLE_ASSETS","FQ4 2022","FQ4 2022","Currency=USD","Period=FQ","BEST_FPERIOD_OVERRIDE=FQ","FILING_STATUS=MR","SCALING_FORMAT=MLN","Sort=A","Dates=H","DateFormat=P","Fill=—","Direction=H","UseDPDF=Y")</f>
        <v>0</v>
      </c>
      <c r="S24" s="18">
        <f>_xll.BDH("ALNY US Equity","CF_DISPOSAL_OF_INTANGIBLE_ASSETS","FQ1 2023","FQ1 2023","Currency=USD","Period=FQ","BEST_FPERIOD_OVERRIDE=FQ","FILING_STATUS=MR","SCALING_FORMAT=MLN","Sort=A","Dates=H","DateFormat=P","Fill=—","Direction=H","UseDPDF=Y")</f>
        <v>0</v>
      </c>
      <c r="T24" s="18">
        <f>_xll.BDH("ALNY US Equity","CF_DISPOSAL_OF_INTANGIBLE_ASSETS","FQ2 2023","FQ2 2023","Currency=USD","Period=FQ","BEST_FPERIOD_OVERRIDE=FQ","FILING_STATUS=MR","SCALING_FORMAT=MLN","Sort=A","Dates=H","DateFormat=P","Fill=—","Direction=H","UseDPDF=Y")</f>
        <v>0</v>
      </c>
      <c r="U24" s="18">
        <f>_xll.BDH("ALNY US Equity","CF_DISPOSAL_OF_INTANGIBLE_ASSETS","FQ3 2023","FQ3 2023","Currency=USD","Period=FQ","BEST_FPERIOD_OVERRIDE=FQ","FILING_STATUS=MR","SCALING_FORMAT=MLN","Sort=A","Dates=H","DateFormat=P","Fill=—","Direction=H","UseDPDF=Y")</f>
        <v>0</v>
      </c>
      <c r="V24" s="18">
        <f>_xll.BDH("ALNY US Equity","CF_DISPOSAL_OF_INTANGIBLE_ASSETS","FQ4 2023","FQ4 2023","Currency=USD","Period=FQ","BEST_FPERIOD_OVERRIDE=FQ","FILING_STATUS=MR","SCALING_FORMAT=MLN","Sort=A","Dates=H","DateFormat=P","Fill=—","Direction=H","UseDPDF=Y")</f>
        <v>0</v>
      </c>
      <c r="W24" s="18">
        <f>_xll.BDH("ALNY US Equity","CF_DISPOSAL_OF_INTANGIBLE_ASSETS","FQ1 2024","FQ1 2024","Currency=USD","Period=FQ","BEST_FPERIOD_OVERRIDE=FQ","FILING_STATUS=MR","SCALING_FORMAT=MLN","Sort=A","Dates=H","DateFormat=P","Fill=—","Direction=H","UseDPDF=Y")</f>
        <v>0</v>
      </c>
      <c r="X24" s="18" t="str">
        <f>_xll.BDH("ALNY US Equity","CF_DISPOSAL_OF_INTANGIBLE_ASSETS","FQ2 2024","FQ2 2024","Currency=USD","Period=FQ","BEST_FPERIOD_OVERRIDE=FQ","FILING_STATUS=MR","SCALING_FORMAT=MLN","Sort=A","Dates=H","DateFormat=P","Fill=—","Direction=H","UseDPDF=Y")</f>
        <v>—</v>
      </c>
      <c r="Y24" s="18" t="str">
        <f>_xll.BDH("ALNY US Equity","CF_DISPOSAL_OF_INTANGIBLE_ASSETS","FQ3 2024","FQ3 2024","Currency=USD","Period=FQ","BEST_FPERIOD_OVERRIDE=FQ","FILING_STATUS=MR","SCALING_FORMAT=MLN","Sort=A","Dates=H","DateFormat=P","Fill=—","Direction=H","UseDPDF=Y")</f>
        <v>—</v>
      </c>
      <c r="Z24" s="18">
        <f>_xll.BDH("ALNY US Equity","CF_DISPOSAL_OF_INTANGIBLE_ASSETS","FQ4 2024","FQ4 2024","Currency=USD","Period=FQ","BEST_FPERIOD_OVERRIDE=FQ","FILING_STATUS=MR","SCALING_FORMAT=MLN","Sort=A","Dates=H","DateFormat=P","Fill=—","Direction=H","UseDPDF=Y")</f>
        <v>0</v>
      </c>
    </row>
    <row r="25" spans="1:26" x14ac:dyDescent="0.25">
      <c r="A25" s="10" t="s">
        <v>371</v>
      </c>
      <c r="B25" s="10" t="s">
        <v>372</v>
      </c>
      <c r="C25" s="13">
        <f>_xll.BDH("ALNY US Equity","ACQUIS_OF_FIXED_INTANG","FQ1 2019","FQ1 2019","Currency=USD","Period=FQ","BEST_FPERIOD_OVERRIDE=FQ","FILING_STATUS=MR","SCALING_FORMAT=MLN","Sort=A","Dates=H","DateFormat=P","Fill=—","Direction=H","UseDPDF=Y")</f>
        <v>-44.048999999999999</v>
      </c>
      <c r="D25" s="13">
        <f>_xll.BDH("ALNY US Equity","ACQUIS_OF_FIXED_INTANG","FQ2 2019","FQ2 2019","Currency=USD","Period=FQ","BEST_FPERIOD_OVERRIDE=FQ","FILING_STATUS=MR","SCALING_FORMAT=MLN","Sort=A","Dates=H","DateFormat=P","Fill=—","Direction=H","UseDPDF=Y")</f>
        <v>-21.244</v>
      </c>
      <c r="E25" s="13">
        <f>_xll.BDH("ALNY US Equity","ACQUIS_OF_FIXED_INTANG","FQ3 2019","FQ3 2019","Currency=USD","Period=FQ","BEST_FPERIOD_OVERRIDE=FQ","FILING_STATUS=MR","SCALING_FORMAT=MLN","Sort=A","Dates=H","DateFormat=P","Fill=—","Direction=H","UseDPDF=Y")</f>
        <v>-36.058</v>
      </c>
      <c r="F25" s="13">
        <f>_xll.BDH("ALNY US Equity","ACQUIS_OF_FIXED_INTANG","FQ4 2019","FQ4 2019","Currency=USD","Period=FQ","BEST_FPERIOD_OVERRIDE=FQ","FILING_STATUS=MR","SCALING_FORMAT=MLN","Sort=A","Dates=H","DateFormat=P","Fill=—","Direction=H","UseDPDF=Y")</f>
        <v>-38.805</v>
      </c>
      <c r="G25" s="13">
        <f>_xll.BDH("ALNY US Equity","ACQUIS_OF_FIXED_INTANG","FQ1 2020","FQ1 2020","Currency=USD","Period=FQ","BEST_FPERIOD_OVERRIDE=FQ","FILING_STATUS=MR","SCALING_FORMAT=MLN","Sort=A","Dates=H","DateFormat=P","Fill=—","Direction=H","UseDPDF=Y")</f>
        <v>-19.617000000000001</v>
      </c>
      <c r="H25" s="13">
        <f>_xll.BDH("ALNY US Equity","ACQUIS_OF_FIXED_INTANG","FQ2 2020","FQ2 2020","Currency=USD","Period=FQ","BEST_FPERIOD_OVERRIDE=FQ","FILING_STATUS=MR","SCALING_FORMAT=MLN","Sort=A","Dates=H","DateFormat=P","Fill=—","Direction=H","UseDPDF=Y")</f>
        <v>-16.658000000000001</v>
      </c>
      <c r="I25" s="13">
        <f>_xll.BDH("ALNY US Equity","ACQUIS_OF_FIXED_INTANG","FQ3 2020","FQ3 2020","Currency=USD","Period=FQ","BEST_FPERIOD_OVERRIDE=FQ","FILING_STATUS=MR","SCALING_FORMAT=MLN","Sort=A","Dates=H","DateFormat=P","Fill=—","Direction=H","UseDPDF=Y")</f>
        <v>-12.417999999999999</v>
      </c>
      <c r="J25" s="13">
        <f>_xll.BDH("ALNY US Equity","ACQUIS_OF_FIXED_INTANG","FQ4 2020","FQ4 2020","Currency=USD","Period=FQ","BEST_FPERIOD_OVERRIDE=FQ","FILING_STATUS=MR","SCALING_FORMAT=MLN","Sort=A","Dates=H","DateFormat=P","Fill=—","Direction=H","UseDPDF=Y")</f>
        <v>-21.667999999999999</v>
      </c>
      <c r="K25" s="13">
        <f>_xll.BDH("ALNY US Equity","ACQUIS_OF_FIXED_INTANG","FQ1 2021","FQ1 2021","Currency=USD","Period=FQ","BEST_FPERIOD_OVERRIDE=FQ","FILING_STATUS=MR","SCALING_FORMAT=MLN","Sort=A","Dates=H","DateFormat=P","Fill=—","Direction=H","UseDPDF=Y")</f>
        <v>-17.178000000000001</v>
      </c>
      <c r="L25" s="13">
        <f>_xll.BDH("ALNY US Equity","ACQUIS_OF_FIXED_INTANG","FQ2 2021","FQ2 2021","Currency=USD","Period=FQ","BEST_FPERIOD_OVERRIDE=FQ","FILING_STATUS=MR","SCALING_FORMAT=MLN","Sort=A","Dates=H","DateFormat=P","Fill=—","Direction=H","UseDPDF=Y")</f>
        <v>-11.246</v>
      </c>
      <c r="M25" s="13">
        <f>_xll.BDH("ALNY US Equity","ACQUIS_OF_FIXED_INTANG","FQ3 2021","FQ3 2021","Currency=USD","Period=FQ","BEST_FPERIOD_OVERRIDE=FQ","FILING_STATUS=MR","SCALING_FORMAT=MLN","Sort=A","Dates=H","DateFormat=P","Fill=—","Direction=H","UseDPDF=Y")</f>
        <v>-26.062000000000001</v>
      </c>
      <c r="N25" s="13">
        <f>_xll.BDH("ALNY US Equity","ACQUIS_OF_FIXED_INTANG","FQ4 2021","FQ4 2021","Currency=USD","Period=FQ","BEST_FPERIOD_OVERRIDE=FQ","FILING_STATUS=MR","SCALING_FORMAT=MLN","Sort=A","Dates=H","DateFormat=P","Fill=—","Direction=H","UseDPDF=Y")</f>
        <v>-21.885999999999999</v>
      </c>
      <c r="O25" s="13">
        <f>_xll.BDH("ALNY US Equity","ACQUIS_OF_FIXED_INTANG","FQ1 2022","FQ1 2022","Currency=USD","Period=FQ","BEST_FPERIOD_OVERRIDE=FQ","FILING_STATUS=MR","SCALING_FORMAT=MLN","Sort=A","Dates=H","DateFormat=P","Fill=—","Direction=H","UseDPDF=Y")</f>
        <v>-17.859000000000002</v>
      </c>
      <c r="P25" s="13">
        <f>_xll.BDH("ALNY US Equity","ACQUIS_OF_FIXED_INTANG","FQ2 2022","FQ2 2022","Currency=USD","Period=FQ","BEST_FPERIOD_OVERRIDE=FQ","FILING_STATUS=MR","SCALING_FORMAT=MLN","Sort=A","Dates=H","DateFormat=P","Fill=—","Direction=H","UseDPDF=Y")</f>
        <v>-16.055</v>
      </c>
      <c r="Q25" s="13">
        <f>_xll.BDH("ALNY US Equity","ACQUIS_OF_FIXED_INTANG","FQ3 2022","FQ3 2022","Currency=USD","Period=FQ","BEST_FPERIOD_OVERRIDE=FQ","FILING_STATUS=MR","SCALING_FORMAT=MLN","Sort=A","Dates=H","DateFormat=P","Fill=—","Direction=H","UseDPDF=Y")</f>
        <v>-16.510000000000002</v>
      </c>
      <c r="R25" s="13">
        <f>_xll.BDH("ALNY US Equity","ACQUIS_OF_FIXED_INTANG","FQ4 2022","FQ4 2022","Currency=USD","Period=FQ","BEST_FPERIOD_OVERRIDE=FQ","FILING_STATUS=MR","SCALING_FORMAT=MLN","Sort=A","Dates=H","DateFormat=P","Fill=—","Direction=H","UseDPDF=Y")</f>
        <v>-21.635000000000002</v>
      </c>
      <c r="S25" s="13">
        <f>_xll.BDH("ALNY US Equity","ACQUIS_OF_FIXED_INTANG","FQ1 2023","FQ1 2023","Currency=USD","Period=FQ","BEST_FPERIOD_OVERRIDE=FQ","FILING_STATUS=MR","SCALING_FORMAT=MLN","Sort=A","Dates=H","DateFormat=P","Fill=—","Direction=H","UseDPDF=Y")</f>
        <v>-13.891</v>
      </c>
      <c r="T25" s="13">
        <f>_xll.BDH("ALNY US Equity","ACQUIS_OF_FIXED_INTANG","FQ2 2023","FQ2 2023","Currency=USD","Period=FQ","BEST_FPERIOD_OVERRIDE=FQ","FILING_STATUS=MR","SCALING_FORMAT=MLN","Sort=A","Dates=H","DateFormat=P","Fill=—","Direction=H","UseDPDF=Y")</f>
        <v>-15.919</v>
      </c>
      <c r="U25" s="13">
        <f>_xll.BDH("ALNY US Equity","ACQUIS_OF_FIXED_INTANG","FQ3 2023","FQ3 2023","Currency=USD","Period=FQ","BEST_FPERIOD_OVERRIDE=FQ","FILING_STATUS=MR","SCALING_FORMAT=MLN","Sort=A","Dates=H","DateFormat=P","Fill=—","Direction=H","UseDPDF=Y")</f>
        <v>-17.091999999999999</v>
      </c>
      <c r="V25" s="13">
        <f>_xll.BDH("ALNY US Equity","ACQUIS_OF_FIXED_INTANG","FQ4 2023","FQ4 2023","Currency=USD","Period=FQ","BEST_FPERIOD_OVERRIDE=FQ","FILING_STATUS=MR","SCALING_FORMAT=MLN","Sort=A","Dates=H","DateFormat=P","Fill=—","Direction=H","UseDPDF=Y")</f>
        <v>-15.308999999999999</v>
      </c>
      <c r="W25" s="13">
        <f>_xll.BDH("ALNY US Equity","ACQUIS_OF_FIXED_INTANG","FQ1 2024","FQ1 2024","Currency=USD","Period=FQ","BEST_FPERIOD_OVERRIDE=FQ","FILING_STATUS=MR","SCALING_FORMAT=MLN","Sort=A","Dates=H","DateFormat=P","Fill=—","Direction=H","UseDPDF=Y")</f>
        <v>-12.973000000000001</v>
      </c>
      <c r="X25" s="13">
        <f>_xll.BDH("ALNY US Equity","ACQUIS_OF_FIXED_INTANG","FQ2 2024","FQ2 2024","Currency=USD","Period=FQ","BEST_FPERIOD_OVERRIDE=FQ","FILING_STATUS=MR","SCALING_FORMAT=MLN","Sort=A","Dates=H","DateFormat=P","Fill=—","Direction=H","UseDPDF=Y")</f>
        <v>-8.0180000000000007</v>
      </c>
      <c r="Y25" s="13">
        <f>_xll.BDH("ALNY US Equity","ACQUIS_OF_FIXED_INTANG","FQ3 2024","FQ3 2024","Currency=USD","Period=FQ","BEST_FPERIOD_OVERRIDE=FQ","FILING_STATUS=MR","SCALING_FORMAT=MLN","Sort=A","Dates=H","DateFormat=P","Fill=—","Direction=H","UseDPDF=Y")</f>
        <v>-4.1920000000000002</v>
      </c>
      <c r="Z25" s="13">
        <f>_xll.BDH("ALNY US Equity","ACQUIS_OF_FIXED_INTANG","FQ4 2024","FQ4 2024","Currency=USD","Period=FQ","BEST_FPERIOD_OVERRIDE=FQ","FILING_STATUS=MR","SCALING_FORMAT=MLN","Sort=A","Dates=H","DateFormat=P","Fill=—","Direction=H","UseDPDF=Y")</f>
        <v>-9.0939999999999994</v>
      </c>
    </row>
    <row r="26" spans="1:26" x14ac:dyDescent="0.25">
      <c r="A26" s="11" t="s">
        <v>373</v>
      </c>
      <c r="B26" s="11" t="s">
        <v>374</v>
      </c>
      <c r="C26" s="18">
        <f>_xll.BDH("ALNY US Equity","CF_PURCHASE_OF_FIXED_PROD_ASSETS","FQ1 2019","FQ1 2019","Currency=USD","Period=FQ","BEST_FPERIOD_OVERRIDE=FQ","FILING_STATUS=MR","SCALING_FORMAT=MLN","Sort=A","Dates=H","DateFormat=P","Fill=—","Direction=H","UseDPDF=Y")</f>
        <v>-44.048999999999999</v>
      </c>
      <c r="D26" s="18">
        <f>_xll.BDH("ALNY US Equity","CF_PURCHASE_OF_FIXED_PROD_ASSETS","FQ2 2019","FQ2 2019","Currency=USD","Period=FQ","BEST_FPERIOD_OVERRIDE=FQ","FILING_STATUS=MR","SCALING_FORMAT=MLN","Sort=A","Dates=H","DateFormat=P","Fill=—","Direction=H","UseDPDF=Y")</f>
        <v>-21.244</v>
      </c>
      <c r="E26" s="18">
        <f>_xll.BDH("ALNY US Equity","CF_PURCHASE_OF_FIXED_PROD_ASSETS","FQ3 2019","FQ3 2019","Currency=USD","Period=FQ","BEST_FPERIOD_OVERRIDE=FQ","FILING_STATUS=MR","SCALING_FORMAT=MLN","Sort=A","Dates=H","DateFormat=P","Fill=—","Direction=H","UseDPDF=Y")</f>
        <v>-36.058</v>
      </c>
      <c r="F26" s="18">
        <f>_xll.BDH("ALNY US Equity","CF_PURCHASE_OF_FIXED_PROD_ASSETS","FQ4 2019","FQ4 2019","Currency=USD","Period=FQ","BEST_FPERIOD_OVERRIDE=FQ","FILING_STATUS=MR","SCALING_FORMAT=MLN","Sort=A","Dates=H","DateFormat=P","Fill=—","Direction=H","UseDPDF=Y")</f>
        <v>-38.805</v>
      </c>
      <c r="G26" s="18">
        <f>_xll.BDH("ALNY US Equity","CF_PURCHASE_OF_FIXED_PROD_ASSETS","FQ1 2020","FQ1 2020","Currency=USD","Period=FQ","BEST_FPERIOD_OVERRIDE=FQ","FILING_STATUS=MR","SCALING_FORMAT=MLN","Sort=A","Dates=H","DateFormat=P","Fill=—","Direction=H","UseDPDF=Y")</f>
        <v>-19.617000000000001</v>
      </c>
      <c r="H26" s="18">
        <f>_xll.BDH("ALNY US Equity","CF_PURCHASE_OF_FIXED_PROD_ASSETS","FQ2 2020","FQ2 2020","Currency=USD","Period=FQ","BEST_FPERIOD_OVERRIDE=FQ","FILING_STATUS=MR","SCALING_FORMAT=MLN","Sort=A","Dates=H","DateFormat=P","Fill=—","Direction=H","UseDPDF=Y")</f>
        <v>-16.658000000000001</v>
      </c>
      <c r="I26" s="18">
        <f>_xll.BDH("ALNY US Equity","CF_PURCHASE_OF_FIXED_PROD_ASSETS","FQ3 2020","FQ3 2020","Currency=USD","Period=FQ","BEST_FPERIOD_OVERRIDE=FQ","FILING_STATUS=MR","SCALING_FORMAT=MLN","Sort=A","Dates=H","DateFormat=P","Fill=—","Direction=H","UseDPDF=Y")</f>
        <v>-12.417999999999999</v>
      </c>
      <c r="J26" s="18">
        <f>_xll.BDH("ALNY US Equity","CF_PURCHASE_OF_FIXED_PROD_ASSETS","FQ4 2020","FQ4 2020","Currency=USD","Period=FQ","BEST_FPERIOD_OVERRIDE=FQ","FILING_STATUS=MR","SCALING_FORMAT=MLN","Sort=A","Dates=H","DateFormat=P","Fill=—","Direction=H","UseDPDF=Y")</f>
        <v>-21.667999999999999</v>
      </c>
      <c r="K26" s="18">
        <f>_xll.BDH("ALNY US Equity","CF_PURCHASE_OF_FIXED_PROD_ASSETS","FQ1 2021","FQ1 2021","Currency=USD","Period=FQ","BEST_FPERIOD_OVERRIDE=FQ","FILING_STATUS=MR","SCALING_FORMAT=MLN","Sort=A","Dates=H","DateFormat=P","Fill=—","Direction=H","UseDPDF=Y")</f>
        <v>-17.178000000000001</v>
      </c>
      <c r="L26" s="18">
        <f>_xll.BDH("ALNY US Equity","CF_PURCHASE_OF_FIXED_PROD_ASSETS","FQ2 2021","FQ2 2021","Currency=USD","Period=FQ","BEST_FPERIOD_OVERRIDE=FQ","FILING_STATUS=MR","SCALING_FORMAT=MLN","Sort=A","Dates=H","DateFormat=P","Fill=—","Direction=H","UseDPDF=Y")</f>
        <v>-11.246</v>
      </c>
      <c r="M26" s="18">
        <f>_xll.BDH("ALNY US Equity","CF_PURCHASE_OF_FIXED_PROD_ASSETS","FQ3 2021","FQ3 2021","Currency=USD","Period=FQ","BEST_FPERIOD_OVERRIDE=FQ","FILING_STATUS=MR","SCALING_FORMAT=MLN","Sort=A","Dates=H","DateFormat=P","Fill=—","Direction=H","UseDPDF=Y")</f>
        <v>-26.062000000000001</v>
      </c>
      <c r="N26" s="18">
        <f>_xll.BDH("ALNY US Equity","CF_PURCHASE_OF_FIXED_PROD_ASSETS","FQ4 2021","FQ4 2021","Currency=USD","Period=FQ","BEST_FPERIOD_OVERRIDE=FQ","FILING_STATUS=MR","SCALING_FORMAT=MLN","Sort=A","Dates=H","DateFormat=P","Fill=—","Direction=H","UseDPDF=Y")</f>
        <v>-21.885999999999999</v>
      </c>
      <c r="O26" s="18">
        <f>_xll.BDH("ALNY US Equity","CF_PURCHASE_OF_FIXED_PROD_ASSETS","FQ1 2022","FQ1 2022","Currency=USD","Period=FQ","BEST_FPERIOD_OVERRIDE=FQ","FILING_STATUS=MR","SCALING_FORMAT=MLN","Sort=A","Dates=H","DateFormat=P","Fill=—","Direction=H","UseDPDF=Y")</f>
        <v>-17.859000000000002</v>
      </c>
      <c r="P26" s="18">
        <f>_xll.BDH("ALNY US Equity","CF_PURCHASE_OF_FIXED_PROD_ASSETS","FQ2 2022","FQ2 2022","Currency=USD","Period=FQ","BEST_FPERIOD_OVERRIDE=FQ","FILING_STATUS=MR","SCALING_FORMAT=MLN","Sort=A","Dates=H","DateFormat=P","Fill=—","Direction=H","UseDPDF=Y")</f>
        <v>-16.055</v>
      </c>
      <c r="Q26" s="18">
        <f>_xll.BDH("ALNY US Equity","CF_PURCHASE_OF_FIXED_PROD_ASSETS","FQ3 2022","FQ3 2022","Currency=USD","Period=FQ","BEST_FPERIOD_OVERRIDE=FQ","FILING_STATUS=MR","SCALING_FORMAT=MLN","Sort=A","Dates=H","DateFormat=P","Fill=—","Direction=H","UseDPDF=Y")</f>
        <v>-16.510000000000002</v>
      </c>
      <c r="R26" s="18">
        <f>_xll.BDH("ALNY US Equity","CF_PURCHASE_OF_FIXED_PROD_ASSETS","FQ4 2022","FQ4 2022","Currency=USD","Period=FQ","BEST_FPERIOD_OVERRIDE=FQ","FILING_STATUS=MR","SCALING_FORMAT=MLN","Sort=A","Dates=H","DateFormat=P","Fill=—","Direction=H","UseDPDF=Y")</f>
        <v>-21.635000000000002</v>
      </c>
      <c r="S26" s="18">
        <f>_xll.BDH("ALNY US Equity","CF_PURCHASE_OF_FIXED_PROD_ASSETS","FQ1 2023","FQ1 2023","Currency=USD","Period=FQ","BEST_FPERIOD_OVERRIDE=FQ","FILING_STATUS=MR","SCALING_FORMAT=MLN","Sort=A","Dates=H","DateFormat=P","Fill=—","Direction=H","UseDPDF=Y")</f>
        <v>-13.891</v>
      </c>
      <c r="T26" s="18">
        <f>_xll.BDH("ALNY US Equity","CF_PURCHASE_OF_FIXED_PROD_ASSETS","FQ2 2023","FQ2 2023","Currency=USD","Period=FQ","BEST_FPERIOD_OVERRIDE=FQ","FILING_STATUS=MR","SCALING_FORMAT=MLN","Sort=A","Dates=H","DateFormat=P","Fill=—","Direction=H","UseDPDF=Y")</f>
        <v>-15.919</v>
      </c>
      <c r="U26" s="18">
        <f>_xll.BDH("ALNY US Equity","CF_PURCHASE_OF_FIXED_PROD_ASSETS","FQ3 2023","FQ3 2023","Currency=USD","Period=FQ","BEST_FPERIOD_OVERRIDE=FQ","FILING_STATUS=MR","SCALING_FORMAT=MLN","Sort=A","Dates=H","DateFormat=P","Fill=—","Direction=H","UseDPDF=Y")</f>
        <v>-17.091999999999999</v>
      </c>
      <c r="V26" s="18">
        <f>_xll.BDH("ALNY US Equity","CF_PURCHASE_OF_FIXED_PROD_ASSETS","FQ4 2023","FQ4 2023","Currency=USD","Period=FQ","BEST_FPERIOD_OVERRIDE=FQ","FILING_STATUS=MR","SCALING_FORMAT=MLN","Sort=A","Dates=H","DateFormat=P","Fill=—","Direction=H","UseDPDF=Y")</f>
        <v>-15.308999999999999</v>
      </c>
      <c r="W26" s="18">
        <f>_xll.BDH("ALNY US Equity","CF_PURCHASE_OF_FIXED_PROD_ASSETS","FQ1 2024","FQ1 2024","Currency=USD","Period=FQ","BEST_FPERIOD_OVERRIDE=FQ","FILING_STATUS=MR","SCALING_FORMAT=MLN","Sort=A","Dates=H","DateFormat=P","Fill=—","Direction=H","UseDPDF=Y")</f>
        <v>-12.973000000000001</v>
      </c>
      <c r="X26" s="18">
        <f>_xll.BDH("ALNY US Equity","CF_PURCHASE_OF_FIXED_PROD_ASSETS","FQ2 2024","FQ2 2024","Currency=USD","Period=FQ","BEST_FPERIOD_OVERRIDE=FQ","FILING_STATUS=MR","SCALING_FORMAT=MLN","Sort=A","Dates=H","DateFormat=P","Fill=—","Direction=H","UseDPDF=Y")</f>
        <v>-8.0180000000000007</v>
      </c>
      <c r="Y26" s="18">
        <f>_xll.BDH("ALNY US Equity","CF_PURCHASE_OF_FIXED_PROD_ASSETS","FQ3 2024","FQ3 2024","Currency=USD","Period=FQ","BEST_FPERIOD_OVERRIDE=FQ","FILING_STATUS=MR","SCALING_FORMAT=MLN","Sort=A","Dates=H","DateFormat=P","Fill=—","Direction=H","UseDPDF=Y")</f>
        <v>-4.1920000000000002</v>
      </c>
      <c r="Z26" s="18">
        <f>_xll.BDH("ALNY US Equity","CF_PURCHASE_OF_FIXED_PROD_ASSETS","FQ4 2024","FQ4 2024","Currency=USD","Period=FQ","BEST_FPERIOD_OVERRIDE=FQ","FILING_STATUS=MR","SCALING_FORMAT=MLN","Sort=A","Dates=H","DateFormat=P","Fill=—","Direction=H","UseDPDF=Y")</f>
        <v>-9.0939999999999994</v>
      </c>
    </row>
    <row r="27" spans="1:26" x14ac:dyDescent="0.25">
      <c r="A27" s="11" t="s">
        <v>375</v>
      </c>
      <c r="B27" s="11" t="s">
        <v>376</v>
      </c>
      <c r="C27" s="18">
        <f>_xll.BDH("ALNY US Equity","CF_ACQUISITION_OF_INTANG_ASSETS","FQ1 2019","FQ1 2019","Currency=USD","Period=FQ","BEST_FPERIOD_OVERRIDE=FQ","FILING_STATUS=MR","SCALING_FORMAT=MLN","Sort=A","Dates=H","DateFormat=P","Fill=—","Direction=H","UseDPDF=Y")</f>
        <v>0</v>
      </c>
      <c r="D27" s="18">
        <f>_xll.BDH("ALNY US Equity","CF_ACQUISITION_OF_INTANG_ASSETS","FQ2 2019","FQ2 2019","Currency=USD","Period=FQ","BEST_FPERIOD_OVERRIDE=FQ","FILING_STATUS=MR","SCALING_FORMAT=MLN","Sort=A","Dates=H","DateFormat=P","Fill=—","Direction=H","UseDPDF=Y")</f>
        <v>0</v>
      </c>
      <c r="E27" s="18">
        <f>_xll.BDH("ALNY US Equity","CF_ACQUISITION_OF_INTANG_ASSETS","FQ3 2019","FQ3 2019","Currency=USD","Period=FQ","BEST_FPERIOD_OVERRIDE=FQ","FILING_STATUS=MR","SCALING_FORMAT=MLN","Sort=A","Dates=H","DateFormat=P","Fill=—","Direction=H","UseDPDF=Y")</f>
        <v>0</v>
      </c>
      <c r="F27" s="18">
        <f>_xll.BDH("ALNY US Equity","CF_ACQUISITION_OF_INTANG_ASSETS","FQ4 2019","FQ4 2019","Currency=USD","Period=FQ","BEST_FPERIOD_OVERRIDE=FQ","FILING_STATUS=MR","SCALING_FORMAT=MLN","Sort=A","Dates=H","DateFormat=P","Fill=—","Direction=H","UseDPDF=Y")</f>
        <v>0</v>
      </c>
      <c r="G27" s="18">
        <f>_xll.BDH("ALNY US Equity","CF_ACQUISITION_OF_INTANG_ASSETS","FQ1 2020","FQ1 2020","Currency=USD","Period=FQ","BEST_FPERIOD_OVERRIDE=FQ","FILING_STATUS=MR","SCALING_FORMAT=MLN","Sort=A","Dates=H","DateFormat=P","Fill=—","Direction=H","UseDPDF=Y")</f>
        <v>0</v>
      </c>
      <c r="H27" s="18">
        <f>_xll.BDH("ALNY US Equity","CF_ACQUISITION_OF_INTANG_ASSETS","FQ2 2020","FQ2 2020","Currency=USD","Period=FQ","BEST_FPERIOD_OVERRIDE=FQ","FILING_STATUS=MR","SCALING_FORMAT=MLN","Sort=A","Dates=H","DateFormat=P","Fill=—","Direction=H","UseDPDF=Y")</f>
        <v>0</v>
      </c>
      <c r="I27" s="18">
        <f>_xll.BDH("ALNY US Equity","CF_ACQUISITION_OF_INTANG_ASSETS","FQ3 2020","FQ3 2020","Currency=USD","Period=FQ","BEST_FPERIOD_OVERRIDE=FQ","FILING_STATUS=MR","SCALING_FORMAT=MLN","Sort=A","Dates=H","DateFormat=P","Fill=—","Direction=H","UseDPDF=Y")</f>
        <v>0</v>
      </c>
      <c r="J27" s="18">
        <f>_xll.BDH("ALNY US Equity","CF_ACQUISITION_OF_INTANG_ASSETS","FQ4 2020","FQ4 2020","Currency=USD","Period=FQ","BEST_FPERIOD_OVERRIDE=FQ","FILING_STATUS=MR","SCALING_FORMAT=MLN","Sort=A","Dates=H","DateFormat=P","Fill=—","Direction=H","UseDPDF=Y")</f>
        <v>0</v>
      </c>
      <c r="K27" s="18">
        <f>_xll.BDH("ALNY US Equity","CF_ACQUISITION_OF_INTANG_ASSETS","FQ1 2021","FQ1 2021","Currency=USD","Period=FQ","BEST_FPERIOD_OVERRIDE=FQ","FILING_STATUS=MR","SCALING_FORMAT=MLN","Sort=A","Dates=H","DateFormat=P","Fill=—","Direction=H","UseDPDF=Y")</f>
        <v>0</v>
      </c>
      <c r="L27" s="18">
        <f>_xll.BDH("ALNY US Equity","CF_ACQUISITION_OF_INTANG_ASSETS","FQ2 2021","FQ2 2021","Currency=USD","Period=FQ","BEST_FPERIOD_OVERRIDE=FQ","FILING_STATUS=MR","SCALING_FORMAT=MLN","Sort=A","Dates=H","DateFormat=P","Fill=—","Direction=H","UseDPDF=Y")</f>
        <v>0</v>
      </c>
      <c r="M27" s="18">
        <f>_xll.BDH("ALNY US Equity","CF_ACQUISITION_OF_INTANG_ASSETS","FQ3 2021","FQ3 2021","Currency=USD","Period=FQ","BEST_FPERIOD_OVERRIDE=FQ","FILING_STATUS=MR","SCALING_FORMAT=MLN","Sort=A","Dates=H","DateFormat=P","Fill=—","Direction=H","UseDPDF=Y")</f>
        <v>0</v>
      </c>
      <c r="N27" s="18">
        <f>_xll.BDH("ALNY US Equity","CF_ACQUISITION_OF_INTANG_ASSETS","FQ4 2021","FQ4 2021","Currency=USD","Period=FQ","BEST_FPERIOD_OVERRIDE=FQ","FILING_STATUS=MR","SCALING_FORMAT=MLN","Sort=A","Dates=H","DateFormat=P","Fill=—","Direction=H","UseDPDF=Y")</f>
        <v>0</v>
      </c>
      <c r="O27" s="18">
        <f>_xll.BDH("ALNY US Equity","CF_ACQUISITION_OF_INTANG_ASSETS","FQ1 2022","FQ1 2022","Currency=USD","Period=FQ","BEST_FPERIOD_OVERRIDE=FQ","FILING_STATUS=MR","SCALING_FORMAT=MLN","Sort=A","Dates=H","DateFormat=P","Fill=—","Direction=H","UseDPDF=Y")</f>
        <v>0</v>
      </c>
      <c r="P27" s="18">
        <f>_xll.BDH("ALNY US Equity","CF_ACQUISITION_OF_INTANG_ASSETS","FQ2 2022","FQ2 2022","Currency=USD","Period=FQ","BEST_FPERIOD_OVERRIDE=FQ","FILING_STATUS=MR","SCALING_FORMAT=MLN","Sort=A","Dates=H","DateFormat=P","Fill=—","Direction=H","UseDPDF=Y")</f>
        <v>0</v>
      </c>
      <c r="Q27" s="18">
        <f>_xll.BDH("ALNY US Equity","CF_ACQUISITION_OF_INTANG_ASSETS","FQ3 2022","FQ3 2022","Currency=USD","Period=FQ","BEST_FPERIOD_OVERRIDE=FQ","FILING_STATUS=MR","SCALING_FORMAT=MLN","Sort=A","Dates=H","DateFormat=P","Fill=—","Direction=H","UseDPDF=Y")</f>
        <v>0</v>
      </c>
      <c r="R27" s="18">
        <f>_xll.BDH("ALNY US Equity","CF_ACQUISITION_OF_INTANG_ASSETS","FQ4 2022","FQ4 2022","Currency=USD","Period=FQ","BEST_FPERIOD_OVERRIDE=FQ","FILING_STATUS=MR","SCALING_FORMAT=MLN","Sort=A","Dates=H","DateFormat=P","Fill=—","Direction=H","UseDPDF=Y")</f>
        <v>0</v>
      </c>
      <c r="S27" s="18">
        <f>_xll.BDH("ALNY US Equity","CF_ACQUISITION_OF_INTANG_ASSETS","FQ1 2023","FQ1 2023","Currency=USD","Period=FQ","BEST_FPERIOD_OVERRIDE=FQ","FILING_STATUS=MR","SCALING_FORMAT=MLN","Sort=A","Dates=H","DateFormat=P","Fill=—","Direction=H","UseDPDF=Y")</f>
        <v>0</v>
      </c>
      <c r="T27" s="18">
        <f>_xll.BDH("ALNY US Equity","CF_ACQUISITION_OF_INTANG_ASSETS","FQ2 2023","FQ2 2023","Currency=USD","Period=FQ","BEST_FPERIOD_OVERRIDE=FQ","FILING_STATUS=MR","SCALING_FORMAT=MLN","Sort=A","Dates=H","DateFormat=P","Fill=—","Direction=H","UseDPDF=Y")</f>
        <v>0</v>
      </c>
      <c r="U27" s="18">
        <f>_xll.BDH("ALNY US Equity","CF_ACQUISITION_OF_INTANG_ASSETS","FQ3 2023","FQ3 2023","Currency=USD","Period=FQ","BEST_FPERIOD_OVERRIDE=FQ","FILING_STATUS=MR","SCALING_FORMAT=MLN","Sort=A","Dates=H","DateFormat=P","Fill=—","Direction=H","UseDPDF=Y")</f>
        <v>0</v>
      </c>
      <c r="V27" s="18">
        <f>_xll.BDH("ALNY US Equity","CF_ACQUISITION_OF_INTANG_ASSETS","FQ4 2023","FQ4 2023","Currency=USD","Period=FQ","BEST_FPERIOD_OVERRIDE=FQ","FILING_STATUS=MR","SCALING_FORMAT=MLN","Sort=A","Dates=H","DateFormat=P","Fill=—","Direction=H","UseDPDF=Y")</f>
        <v>0</v>
      </c>
      <c r="W27" s="18">
        <f>_xll.BDH("ALNY US Equity","CF_ACQUISITION_OF_INTANG_ASSETS","FQ1 2024","FQ1 2024","Currency=USD","Period=FQ","BEST_FPERIOD_OVERRIDE=FQ","FILING_STATUS=MR","SCALING_FORMAT=MLN","Sort=A","Dates=H","DateFormat=P","Fill=—","Direction=H","UseDPDF=Y")</f>
        <v>0</v>
      </c>
      <c r="X27" s="18">
        <f>_xll.BDH("ALNY US Equity","CF_ACQUISITION_OF_INTANG_ASSETS","FQ2 2024","FQ2 2024","Currency=USD","Period=FQ","BEST_FPERIOD_OVERRIDE=FQ","FILING_STATUS=MR","SCALING_FORMAT=MLN","Sort=A","Dates=H","DateFormat=P","Fill=—","Direction=H","UseDPDF=Y")</f>
        <v>0</v>
      </c>
      <c r="Y27" s="18">
        <f>_xll.BDH("ALNY US Equity","CF_ACQUISITION_OF_INTANG_ASSETS","FQ3 2024","FQ3 2024","Currency=USD","Period=FQ","BEST_FPERIOD_OVERRIDE=FQ","FILING_STATUS=MR","SCALING_FORMAT=MLN","Sort=A","Dates=H","DateFormat=P","Fill=—","Direction=H","UseDPDF=Y")</f>
        <v>0</v>
      </c>
      <c r="Z27" s="18">
        <f>_xll.BDH("ALNY US Equity","CF_ACQUISITION_OF_INTANG_ASSETS","FQ4 2024","FQ4 2024","Currency=USD","Period=FQ","BEST_FPERIOD_OVERRIDE=FQ","FILING_STATUS=MR","SCALING_FORMAT=MLN","Sort=A","Dates=H","DateFormat=P","Fill=—","Direction=H","UseDPDF=Y")</f>
        <v>0</v>
      </c>
    </row>
    <row r="28" spans="1:26" x14ac:dyDescent="0.25">
      <c r="A28" s="10" t="s">
        <v>377</v>
      </c>
      <c r="B28" s="10" t="s">
        <v>378</v>
      </c>
      <c r="C28" s="13">
        <f>_xll.BDH("ALNY US Equity","NET_CHG_IN_LT_INVEST_DETAILED","FQ1 2019","FQ1 2019","Currency=USD","Period=FQ","BEST_FPERIOD_OVERRIDE=FQ","FILING_STATUS=MR","SCALING_FORMAT=MLN","Sort=A","Dates=H","DateFormat=P","Fill=—","Direction=H","UseDPDF=Y")</f>
        <v>0</v>
      </c>
      <c r="D28" s="13">
        <f>_xll.BDH("ALNY US Equity","NET_CHG_IN_LT_INVEST_DETAILED","FQ2 2019","FQ2 2019","Currency=USD","Period=FQ","BEST_FPERIOD_OVERRIDE=FQ","FILING_STATUS=MR","SCALING_FORMAT=MLN","Sort=A","Dates=H","DateFormat=P","Fill=—","Direction=H","UseDPDF=Y")</f>
        <v>0</v>
      </c>
      <c r="E28" s="13">
        <f>_xll.BDH("ALNY US Equity","NET_CHG_IN_LT_INVEST_DETAILED","FQ3 2019","FQ3 2019","Currency=USD","Period=FQ","BEST_FPERIOD_OVERRIDE=FQ","FILING_STATUS=MR","SCALING_FORMAT=MLN","Sort=A","Dates=H","DateFormat=P","Fill=—","Direction=H","UseDPDF=Y")</f>
        <v>30</v>
      </c>
      <c r="F28" s="13">
        <f>_xll.BDH("ALNY US Equity","NET_CHG_IN_LT_INVEST_DETAILED","FQ4 2019","FQ4 2019","Currency=USD","Period=FQ","BEST_FPERIOD_OVERRIDE=FQ","FILING_STATUS=MR","SCALING_FORMAT=MLN","Sort=A","Dates=H","DateFormat=P","Fill=—","Direction=H","UseDPDF=Y")</f>
        <v>0</v>
      </c>
      <c r="G28" s="13">
        <f>_xll.BDH("ALNY US Equity","NET_CHG_IN_LT_INVEST_DETAILED","FQ1 2020","FQ1 2020","Currency=USD","Period=FQ","BEST_FPERIOD_OVERRIDE=FQ","FILING_STATUS=MR","SCALING_FORMAT=MLN","Sort=A","Dates=H","DateFormat=P","Fill=—","Direction=H","UseDPDF=Y")</f>
        <v>0</v>
      </c>
      <c r="H28" s="13">
        <f>_xll.BDH("ALNY US Equity","NET_CHG_IN_LT_INVEST_DETAILED","FQ2 2020","FQ2 2020","Currency=USD","Period=FQ","BEST_FPERIOD_OVERRIDE=FQ","FILING_STATUS=MR","SCALING_FORMAT=MLN","Sort=A","Dates=H","DateFormat=P","Fill=—","Direction=H","UseDPDF=Y")</f>
        <v>0</v>
      </c>
      <c r="I28" s="13">
        <f>_xll.BDH("ALNY US Equity","NET_CHG_IN_LT_INVEST_DETAILED","FQ3 2020","FQ3 2020","Currency=USD","Period=FQ","BEST_FPERIOD_OVERRIDE=FQ","FILING_STATUS=MR","SCALING_FORMAT=MLN","Sort=A","Dates=H","DateFormat=P","Fill=—","Direction=H","UseDPDF=Y")</f>
        <v>0</v>
      </c>
      <c r="J28" s="13">
        <f>_xll.BDH("ALNY US Equity","NET_CHG_IN_LT_INVEST_DETAILED","FQ4 2020","FQ4 2020","Currency=USD","Period=FQ","BEST_FPERIOD_OVERRIDE=FQ","FILING_STATUS=MR","SCALING_FORMAT=MLN","Sort=A","Dates=H","DateFormat=P","Fill=—","Direction=H","UseDPDF=Y")</f>
        <v>0</v>
      </c>
      <c r="K28" s="13">
        <f>_xll.BDH("ALNY US Equity","NET_CHG_IN_LT_INVEST_DETAILED","FQ1 2021","FQ1 2021","Currency=USD","Period=FQ","BEST_FPERIOD_OVERRIDE=FQ","FILING_STATUS=MR","SCALING_FORMAT=MLN","Sort=A","Dates=H","DateFormat=P","Fill=—","Direction=H","UseDPDF=Y")</f>
        <v>0</v>
      </c>
      <c r="L28" s="13">
        <f>_xll.BDH("ALNY US Equity","NET_CHG_IN_LT_INVEST_DETAILED","FQ2 2021","FQ2 2021","Currency=USD","Period=FQ","BEST_FPERIOD_OVERRIDE=FQ","FILING_STATUS=MR","SCALING_FORMAT=MLN","Sort=A","Dates=H","DateFormat=P","Fill=—","Direction=H","UseDPDF=Y")</f>
        <v>10.65</v>
      </c>
      <c r="M28" s="13">
        <f>_xll.BDH("ALNY US Equity","NET_CHG_IN_LT_INVEST_DETAILED","FQ3 2021","FQ3 2021","Currency=USD","Period=FQ","BEST_FPERIOD_OVERRIDE=FQ","FILING_STATUS=MR","SCALING_FORMAT=MLN","Sort=A","Dates=H","DateFormat=P","Fill=—","Direction=H","UseDPDF=Y")</f>
        <v>15.324999999999999</v>
      </c>
      <c r="N28" s="13">
        <f>_xll.BDH("ALNY US Equity","NET_CHG_IN_LT_INVEST_DETAILED","FQ4 2021","FQ4 2021","Currency=USD","Period=FQ","BEST_FPERIOD_OVERRIDE=FQ","FILING_STATUS=MR","SCALING_FORMAT=MLN","Sort=A","Dates=H","DateFormat=P","Fill=—","Direction=H","UseDPDF=Y")</f>
        <v>16</v>
      </c>
      <c r="O28" s="13">
        <f>_xll.BDH("ALNY US Equity","NET_CHG_IN_LT_INVEST_DETAILED","FQ1 2022","FQ1 2022","Currency=USD","Period=FQ","BEST_FPERIOD_OVERRIDE=FQ","FILING_STATUS=MR","SCALING_FORMAT=MLN","Sort=A","Dates=H","DateFormat=P","Fill=—","Direction=H","UseDPDF=Y")</f>
        <v>0</v>
      </c>
      <c r="P28" s="13">
        <f>_xll.BDH("ALNY US Equity","NET_CHG_IN_LT_INVEST_DETAILED","FQ2 2022","FQ2 2022","Currency=USD","Period=FQ","BEST_FPERIOD_OVERRIDE=FQ","FILING_STATUS=MR","SCALING_FORMAT=MLN","Sort=A","Dates=H","DateFormat=P","Fill=—","Direction=H","UseDPDF=Y")</f>
        <v>0</v>
      </c>
      <c r="Q28" s="13">
        <f>_xll.BDH("ALNY US Equity","NET_CHG_IN_LT_INVEST_DETAILED","FQ3 2022","FQ3 2022","Currency=USD","Period=FQ","BEST_FPERIOD_OVERRIDE=FQ","FILING_STATUS=MR","SCALING_FORMAT=MLN","Sort=A","Dates=H","DateFormat=P","Fill=—","Direction=H","UseDPDF=Y")</f>
        <v>89.950999999999993</v>
      </c>
      <c r="R28" s="13">
        <f>_xll.BDH("ALNY US Equity","NET_CHG_IN_LT_INVEST_DETAILED","FQ4 2022","FQ4 2022","Currency=USD","Period=FQ","BEST_FPERIOD_OVERRIDE=FQ","FILING_STATUS=MR","SCALING_FORMAT=MLN","Sort=A","Dates=H","DateFormat=P","Fill=—","Direction=H","UseDPDF=Y")</f>
        <v>0</v>
      </c>
      <c r="S28" s="13">
        <f>_xll.BDH("ALNY US Equity","NET_CHG_IN_LT_INVEST_DETAILED","FQ1 2023","FQ1 2023","Currency=USD","Period=FQ","BEST_FPERIOD_OVERRIDE=FQ","FILING_STATUS=MR","SCALING_FORMAT=MLN","Sort=A","Dates=H","DateFormat=P","Fill=—","Direction=H","UseDPDF=Y")</f>
        <v>0</v>
      </c>
      <c r="T28" s="13">
        <f>_xll.BDH("ALNY US Equity","NET_CHG_IN_LT_INVEST_DETAILED","FQ2 2023","FQ2 2023","Currency=USD","Period=FQ","BEST_FPERIOD_OVERRIDE=FQ","FILING_STATUS=MR","SCALING_FORMAT=MLN","Sort=A","Dates=H","DateFormat=P","Fill=—","Direction=H","UseDPDF=Y")</f>
        <v>0</v>
      </c>
      <c r="U28" s="13">
        <f>_xll.BDH("ALNY US Equity","NET_CHG_IN_LT_INVEST_DETAILED","FQ3 2023","FQ3 2023","Currency=USD","Period=FQ","BEST_FPERIOD_OVERRIDE=FQ","FILING_STATUS=MR","SCALING_FORMAT=MLN","Sort=A","Dates=H","DateFormat=P","Fill=—","Direction=H","UseDPDF=Y")</f>
        <v>0</v>
      </c>
      <c r="V28" s="13">
        <f>_xll.BDH("ALNY US Equity","NET_CHG_IN_LT_INVEST_DETAILED","FQ4 2023","FQ4 2023","Currency=USD","Period=FQ","BEST_FPERIOD_OVERRIDE=FQ","FILING_STATUS=MR","SCALING_FORMAT=MLN","Sort=A","Dates=H","DateFormat=P","Fill=—","Direction=H","UseDPDF=Y")</f>
        <v>58.475000000000001</v>
      </c>
      <c r="W28" s="13">
        <f>_xll.BDH("ALNY US Equity","NET_CHG_IN_LT_INVEST_DETAILED","FQ1 2024","FQ1 2024","Currency=USD","Period=FQ","BEST_FPERIOD_OVERRIDE=FQ","FILING_STATUS=MR","SCALING_FORMAT=MLN","Sort=A","Dates=H","DateFormat=P","Fill=—","Direction=H","UseDPDF=Y")</f>
        <v>0</v>
      </c>
      <c r="X28" s="13">
        <f>_xll.BDH("ALNY US Equity","NET_CHG_IN_LT_INVEST_DETAILED","FQ2 2024","FQ2 2024","Currency=USD","Period=FQ","BEST_FPERIOD_OVERRIDE=FQ","FILING_STATUS=MR","SCALING_FORMAT=MLN","Sort=A","Dates=H","DateFormat=P","Fill=—","Direction=H","UseDPDF=Y")</f>
        <v>0</v>
      </c>
      <c r="Y28" s="13">
        <f>_xll.BDH("ALNY US Equity","NET_CHG_IN_LT_INVEST_DETAILED","FQ3 2024","FQ3 2024","Currency=USD","Period=FQ","BEST_FPERIOD_OVERRIDE=FQ","FILING_STATUS=MR","SCALING_FORMAT=MLN","Sort=A","Dates=H","DateFormat=P","Fill=—","Direction=H","UseDPDF=Y")</f>
        <v>0</v>
      </c>
      <c r="Z28" s="13">
        <f>_xll.BDH("ALNY US Equity","NET_CHG_IN_LT_INVEST_DETAILED","FQ4 2024","FQ4 2024","Currency=USD","Period=FQ","BEST_FPERIOD_OVERRIDE=FQ","FILING_STATUS=MR","SCALING_FORMAT=MLN","Sort=A","Dates=H","DateFormat=P","Fill=—","Direction=H","UseDPDF=Y")</f>
        <v>57.874000000000002</v>
      </c>
    </row>
    <row r="29" spans="1:26" x14ac:dyDescent="0.25">
      <c r="A29" s="10" t="s">
        <v>379</v>
      </c>
      <c r="B29" s="10" t="s">
        <v>380</v>
      </c>
      <c r="C29" s="13">
        <f>_xll.BDH("ALNY US Equity","CF_DECR_INVEST","FQ1 2019","FQ1 2019","Currency=USD","Period=FQ","BEST_FPERIOD_OVERRIDE=FQ","FILING_STATUS=MR","SCALING_FORMAT=MLN","Sort=A","Dates=H","DateFormat=P","Fill=—","Direction=H","UseDPDF=Y")</f>
        <v>0</v>
      </c>
      <c r="D29" s="13">
        <f>_xll.BDH("ALNY US Equity","CF_DECR_INVEST","FQ2 2019","FQ2 2019","Currency=USD","Period=FQ","BEST_FPERIOD_OVERRIDE=FQ","FILING_STATUS=MR","SCALING_FORMAT=MLN","Sort=A","Dates=H","DateFormat=P","Fill=—","Direction=H","UseDPDF=Y")</f>
        <v>0</v>
      </c>
      <c r="E29" s="13">
        <f>_xll.BDH("ALNY US Equity","CF_DECR_INVEST","FQ3 2019","FQ3 2019","Currency=USD","Period=FQ","BEST_FPERIOD_OVERRIDE=FQ","FILING_STATUS=MR","SCALING_FORMAT=MLN","Sort=A","Dates=H","DateFormat=P","Fill=—","Direction=H","UseDPDF=Y")</f>
        <v>30</v>
      </c>
      <c r="F29" s="13">
        <f>_xll.BDH("ALNY US Equity","CF_DECR_INVEST","FQ4 2019","FQ4 2019","Currency=USD","Period=FQ","BEST_FPERIOD_OVERRIDE=FQ","FILING_STATUS=MR","SCALING_FORMAT=MLN","Sort=A","Dates=H","DateFormat=P","Fill=—","Direction=H","UseDPDF=Y")</f>
        <v>0</v>
      </c>
      <c r="G29" s="13">
        <f>_xll.BDH("ALNY US Equity","CF_DECR_INVEST","FQ1 2020","FQ1 2020","Currency=USD","Period=FQ","BEST_FPERIOD_OVERRIDE=FQ","FILING_STATUS=MR","SCALING_FORMAT=MLN","Sort=A","Dates=H","DateFormat=P","Fill=—","Direction=H","UseDPDF=Y")</f>
        <v>0</v>
      </c>
      <c r="H29" s="13">
        <f>_xll.BDH("ALNY US Equity","CF_DECR_INVEST","FQ2 2020","FQ2 2020","Currency=USD","Period=FQ","BEST_FPERIOD_OVERRIDE=FQ","FILING_STATUS=MR","SCALING_FORMAT=MLN","Sort=A","Dates=H","DateFormat=P","Fill=—","Direction=H","UseDPDF=Y")</f>
        <v>0</v>
      </c>
      <c r="I29" s="13">
        <f>_xll.BDH("ALNY US Equity","CF_DECR_INVEST","FQ3 2020","FQ3 2020","Currency=USD","Period=FQ","BEST_FPERIOD_OVERRIDE=FQ","FILING_STATUS=MR","SCALING_FORMAT=MLN","Sort=A","Dates=H","DateFormat=P","Fill=—","Direction=H","UseDPDF=Y")</f>
        <v>0</v>
      </c>
      <c r="J29" s="13">
        <f>_xll.BDH("ALNY US Equity","CF_DECR_INVEST","FQ4 2020","FQ4 2020","Currency=USD","Period=FQ","BEST_FPERIOD_OVERRIDE=FQ","FILING_STATUS=MR","SCALING_FORMAT=MLN","Sort=A","Dates=H","DateFormat=P","Fill=—","Direction=H","UseDPDF=Y")</f>
        <v>0</v>
      </c>
      <c r="K29" s="13">
        <f>_xll.BDH("ALNY US Equity","CF_DECR_INVEST","FQ1 2021","FQ1 2021","Currency=USD","Period=FQ","BEST_FPERIOD_OVERRIDE=FQ","FILING_STATUS=MR","SCALING_FORMAT=MLN","Sort=A","Dates=H","DateFormat=P","Fill=—","Direction=H","UseDPDF=Y")</f>
        <v>0</v>
      </c>
      <c r="L29" s="13">
        <f>_xll.BDH("ALNY US Equity","CF_DECR_INVEST","FQ2 2021","FQ2 2021","Currency=USD","Period=FQ","BEST_FPERIOD_OVERRIDE=FQ","FILING_STATUS=MR","SCALING_FORMAT=MLN","Sort=A","Dates=H","DateFormat=P","Fill=—","Direction=H","UseDPDF=Y")</f>
        <v>10.65</v>
      </c>
      <c r="M29" s="13">
        <f>_xll.BDH("ALNY US Equity","CF_DECR_INVEST","FQ3 2021","FQ3 2021","Currency=USD","Period=FQ","BEST_FPERIOD_OVERRIDE=FQ","FILING_STATUS=MR","SCALING_FORMAT=MLN","Sort=A","Dates=H","DateFormat=P","Fill=—","Direction=H","UseDPDF=Y")</f>
        <v>15.324999999999999</v>
      </c>
      <c r="N29" s="13">
        <f>_xll.BDH("ALNY US Equity","CF_DECR_INVEST","FQ4 2021","FQ4 2021","Currency=USD","Period=FQ","BEST_FPERIOD_OVERRIDE=FQ","FILING_STATUS=MR","SCALING_FORMAT=MLN","Sort=A","Dates=H","DateFormat=P","Fill=—","Direction=H","UseDPDF=Y")</f>
        <v>16</v>
      </c>
      <c r="O29" s="13">
        <f>_xll.BDH("ALNY US Equity","CF_DECR_INVEST","FQ1 2022","FQ1 2022","Currency=USD","Period=FQ","BEST_FPERIOD_OVERRIDE=FQ","FILING_STATUS=MR","SCALING_FORMAT=MLN","Sort=A","Dates=H","DateFormat=P","Fill=—","Direction=H","UseDPDF=Y")</f>
        <v>0</v>
      </c>
      <c r="P29" s="13">
        <f>_xll.BDH("ALNY US Equity","CF_DECR_INVEST","FQ2 2022","FQ2 2022","Currency=USD","Period=FQ","BEST_FPERIOD_OVERRIDE=FQ","FILING_STATUS=MR","SCALING_FORMAT=MLN","Sort=A","Dates=H","DateFormat=P","Fill=—","Direction=H","UseDPDF=Y")</f>
        <v>0</v>
      </c>
      <c r="Q29" s="13">
        <f>_xll.BDH("ALNY US Equity","CF_DECR_INVEST","FQ3 2022","FQ3 2022","Currency=USD","Period=FQ","BEST_FPERIOD_OVERRIDE=FQ","FILING_STATUS=MR","SCALING_FORMAT=MLN","Sort=A","Dates=H","DateFormat=P","Fill=—","Direction=H","UseDPDF=Y")</f>
        <v>89.950999999999993</v>
      </c>
      <c r="R29" s="13">
        <f>_xll.BDH("ALNY US Equity","CF_DECR_INVEST","FQ4 2022","FQ4 2022","Currency=USD","Period=FQ","BEST_FPERIOD_OVERRIDE=FQ","FILING_STATUS=MR","SCALING_FORMAT=MLN","Sort=A","Dates=H","DateFormat=P","Fill=—","Direction=H","UseDPDF=Y")</f>
        <v>0</v>
      </c>
      <c r="S29" s="13">
        <f>_xll.BDH("ALNY US Equity","CF_DECR_INVEST","FQ1 2023","FQ1 2023","Currency=USD","Period=FQ","BEST_FPERIOD_OVERRIDE=FQ","FILING_STATUS=MR","SCALING_FORMAT=MLN","Sort=A","Dates=H","DateFormat=P","Fill=—","Direction=H","UseDPDF=Y")</f>
        <v>0</v>
      </c>
      <c r="T29" s="13">
        <f>_xll.BDH("ALNY US Equity","CF_DECR_INVEST","FQ2 2023","FQ2 2023","Currency=USD","Period=FQ","BEST_FPERIOD_OVERRIDE=FQ","FILING_STATUS=MR","SCALING_FORMAT=MLN","Sort=A","Dates=H","DateFormat=P","Fill=—","Direction=H","UseDPDF=Y")</f>
        <v>0</v>
      </c>
      <c r="U29" s="13">
        <f>_xll.BDH("ALNY US Equity","CF_DECR_INVEST","FQ3 2023","FQ3 2023","Currency=USD","Period=FQ","BEST_FPERIOD_OVERRIDE=FQ","FILING_STATUS=MR","SCALING_FORMAT=MLN","Sort=A","Dates=H","DateFormat=P","Fill=—","Direction=H","UseDPDF=Y")</f>
        <v>0</v>
      </c>
      <c r="V29" s="13">
        <f>_xll.BDH("ALNY US Equity","CF_DECR_INVEST","FQ4 2023","FQ4 2023","Currency=USD","Period=FQ","BEST_FPERIOD_OVERRIDE=FQ","FILING_STATUS=MR","SCALING_FORMAT=MLN","Sort=A","Dates=H","DateFormat=P","Fill=—","Direction=H","UseDPDF=Y")</f>
        <v>58.475000000000001</v>
      </c>
      <c r="W29" s="13">
        <f>_xll.BDH("ALNY US Equity","CF_DECR_INVEST","FQ1 2024","FQ1 2024","Currency=USD","Period=FQ","BEST_FPERIOD_OVERRIDE=FQ","FILING_STATUS=MR","SCALING_FORMAT=MLN","Sort=A","Dates=H","DateFormat=P","Fill=—","Direction=H","UseDPDF=Y")</f>
        <v>0</v>
      </c>
      <c r="X29" s="13">
        <f>_xll.BDH("ALNY US Equity","CF_DECR_INVEST","FQ2 2024","FQ2 2024","Currency=USD","Period=FQ","BEST_FPERIOD_OVERRIDE=FQ","FILING_STATUS=MR","SCALING_FORMAT=MLN","Sort=A","Dates=H","DateFormat=P","Fill=—","Direction=H","UseDPDF=Y")</f>
        <v>0</v>
      </c>
      <c r="Y29" s="13">
        <f>_xll.BDH("ALNY US Equity","CF_DECR_INVEST","FQ3 2024","FQ3 2024","Currency=USD","Period=FQ","BEST_FPERIOD_OVERRIDE=FQ","FILING_STATUS=MR","SCALING_FORMAT=MLN","Sort=A","Dates=H","DateFormat=P","Fill=—","Direction=H","UseDPDF=Y")</f>
        <v>0</v>
      </c>
      <c r="Z29" s="13">
        <f>_xll.BDH("ALNY US Equity","CF_DECR_INVEST","FQ4 2024","FQ4 2024","Currency=USD","Period=FQ","BEST_FPERIOD_OVERRIDE=FQ","FILING_STATUS=MR","SCALING_FORMAT=MLN","Sort=A","Dates=H","DateFormat=P","Fill=—","Direction=H","UseDPDF=Y")</f>
        <v>57.874000000000002</v>
      </c>
    </row>
    <row r="30" spans="1:26" x14ac:dyDescent="0.25">
      <c r="A30" s="10" t="s">
        <v>381</v>
      </c>
      <c r="B30" s="10" t="s">
        <v>382</v>
      </c>
      <c r="C30" s="13">
        <f>_xll.BDH("ALNY US Equity","CF_INCR_INVEST","FQ1 2019","FQ1 2019","Currency=USD","Period=FQ","BEST_FPERIOD_OVERRIDE=FQ","FILING_STATUS=MR","SCALING_FORMAT=MLN","Sort=A","Dates=H","DateFormat=P","Fill=—","Direction=H","UseDPDF=Y")</f>
        <v>0</v>
      </c>
      <c r="D30" s="13">
        <f>_xll.BDH("ALNY US Equity","CF_INCR_INVEST","FQ2 2019","FQ2 2019","Currency=USD","Period=FQ","BEST_FPERIOD_OVERRIDE=FQ","FILING_STATUS=MR","SCALING_FORMAT=MLN","Sort=A","Dates=H","DateFormat=P","Fill=—","Direction=H","UseDPDF=Y")</f>
        <v>0</v>
      </c>
      <c r="E30" s="13">
        <f>_xll.BDH("ALNY US Equity","CF_INCR_INVEST","FQ3 2019","FQ3 2019","Currency=USD","Period=FQ","BEST_FPERIOD_OVERRIDE=FQ","FILING_STATUS=MR","SCALING_FORMAT=MLN","Sort=A","Dates=H","DateFormat=P","Fill=—","Direction=H","UseDPDF=Y")</f>
        <v>0</v>
      </c>
      <c r="F30" s="13">
        <f>_xll.BDH("ALNY US Equity","CF_INCR_INVEST","FQ4 2019","FQ4 2019","Currency=USD","Period=FQ","BEST_FPERIOD_OVERRIDE=FQ","FILING_STATUS=MR","SCALING_FORMAT=MLN","Sort=A","Dates=H","DateFormat=P","Fill=—","Direction=H","UseDPDF=Y")</f>
        <v>0</v>
      </c>
      <c r="G30" s="13">
        <f>_xll.BDH("ALNY US Equity","CF_INCR_INVEST","FQ1 2020","FQ1 2020","Currency=USD","Period=FQ","BEST_FPERIOD_OVERRIDE=FQ","FILING_STATUS=MR","SCALING_FORMAT=MLN","Sort=A","Dates=H","DateFormat=P","Fill=—","Direction=H","UseDPDF=Y")</f>
        <v>0</v>
      </c>
      <c r="H30" s="13">
        <f>_xll.BDH("ALNY US Equity","CF_INCR_INVEST","FQ2 2020","FQ2 2020","Currency=USD","Period=FQ","BEST_FPERIOD_OVERRIDE=FQ","FILING_STATUS=MR","SCALING_FORMAT=MLN","Sort=A","Dates=H","DateFormat=P","Fill=—","Direction=H","UseDPDF=Y")</f>
        <v>0</v>
      </c>
      <c r="I30" s="13">
        <f>_xll.BDH("ALNY US Equity","CF_INCR_INVEST","FQ3 2020","FQ3 2020","Currency=USD","Period=FQ","BEST_FPERIOD_OVERRIDE=FQ","FILING_STATUS=MR","SCALING_FORMAT=MLN","Sort=A","Dates=H","DateFormat=P","Fill=—","Direction=H","UseDPDF=Y")</f>
        <v>0</v>
      </c>
      <c r="J30" s="13">
        <f>_xll.BDH("ALNY US Equity","CF_INCR_INVEST","FQ4 2020","FQ4 2020","Currency=USD","Period=FQ","BEST_FPERIOD_OVERRIDE=FQ","FILING_STATUS=MR","SCALING_FORMAT=MLN","Sort=A","Dates=H","DateFormat=P","Fill=—","Direction=H","UseDPDF=Y")</f>
        <v>0</v>
      </c>
      <c r="K30" s="13">
        <f>_xll.BDH("ALNY US Equity","CF_INCR_INVEST","FQ1 2021","FQ1 2021","Currency=USD","Period=FQ","BEST_FPERIOD_OVERRIDE=FQ","FILING_STATUS=MR","SCALING_FORMAT=MLN","Sort=A","Dates=H","DateFormat=P","Fill=—","Direction=H","UseDPDF=Y")</f>
        <v>0</v>
      </c>
      <c r="L30" s="13">
        <f>_xll.BDH("ALNY US Equity","CF_INCR_INVEST","FQ2 2021","FQ2 2021","Currency=USD","Period=FQ","BEST_FPERIOD_OVERRIDE=FQ","FILING_STATUS=MR","SCALING_FORMAT=MLN","Sort=A","Dates=H","DateFormat=P","Fill=—","Direction=H","UseDPDF=Y")</f>
        <v>0</v>
      </c>
      <c r="M30" s="13">
        <f>_xll.BDH("ALNY US Equity","CF_INCR_INVEST","FQ3 2021","FQ3 2021","Currency=USD","Period=FQ","BEST_FPERIOD_OVERRIDE=FQ","FILING_STATUS=MR","SCALING_FORMAT=MLN","Sort=A","Dates=H","DateFormat=P","Fill=—","Direction=H","UseDPDF=Y")</f>
        <v>0</v>
      </c>
      <c r="N30" s="13">
        <f>_xll.BDH("ALNY US Equity","CF_INCR_INVEST","FQ4 2021","FQ4 2021","Currency=USD","Period=FQ","BEST_FPERIOD_OVERRIDE=FQ","FILING_STATUS=MR","SCALING_FORMAT=MLN","Sort=A","Dates=H","DateFormat=P","Fill=—","Direction=H","UseDPDF=Y")</f>
        <v>0</v>
      </c>
      <c r="O30" s="13">
        <f>_xll.BDH("ALNY US Equity","CF_INCR_INVEST","FQ1 2022","FQ1 2022","Currency=USD","Period=FQ","BEST_FPERIOD_OVERRIDE=FQ","FILING_STATUS=MR","SCALING_FORMAT=MLN","Sort=A","Dates=H","DateFormat=P","Fill=—","Direction=H","UseDPDF=Y")</f>
        <v>0</v>
      </c>
      <c r="P30" s="13">
        <f>_xll.BDH("ALNY US Equity","CF_INCR_INVEST","FQ2 2022","FQ2 2022","Currency=USD","Period=FQ","BEST_FPERIOD_OVERRIDE=FQ","FILING_STATUS=MR","SCALING_FORMAT=MLN","Sort=A","Dates=H","DateFormat=P","Fill=—","Direction=H","UseDPDF=Y")</f>
        <v>0</v>
      </c>
      <c r="Q30" s="13">
        <f>_xll.BDH("ALNY US Equity","CF_INCR_INVEST","FQ3 2022","FQ3 2022","Currency=USD","Period=FQ","BEST_FPERIOD_OVERRIDE=FQ","FILING_STATUS=MR","SCALING_FORMAT=MLN","Sort=A","Dates=H","DateFormat=P","Fill=—","Direction=H","UseDPDF=Y")</f>
        <v>0</v>
      </c>
      <c r="R30" s="13">
        <f>_xll.BDH("ALNY US Equity","CF_INCR_INVEST","FQ4 2022","FQ4 2022","Currency=USD","Period=FQ","BEST_FPERIOD_OVERRIDE=FQ","FILING_STATUS=MR","SCALING_FORMAT=MLN","Sort=A","Dates=H","DateFormat=P","Fill=—","Direction=H","UseDPDF=Y")</f>
        <v>0</v>
      </c>
      <c r="S30" s="13">
        <f>_xll.BDH("ALNY US Equity","CF_INCR_INVEST","FQ1 2023","FQ1 2023","Currency=USD","Period=FQ","BEST_FPERIOD_OVERRIDE=FQ","FILING_STATUS=MR","SCALING_FORMAT=MLN","Sort=A","Dates=H","DateFormat=P","Fill=—","Direction=H","UseDPDF=Y")</f>
        <v>0</v>
      </c>
      <c r="T30" s="13">
        <f>_xll.BDH("ALNY US Equity","CF_INCR_INVEST","FQ2 2023","FQ2 2023","Currency=USD","Period=FQ","BEST_FPERIOD_OVERRIDE=FQ","FILING_STATUS=MR","SCALING_FORMAT=MLN","Sort=A","Dates=H","DateFormat=P","Fill=—","Direction=H","UseDPDF=Y")</f>
        <v>0</v>
      </c>
      <c r="U30" s="13">
        <f>_xll.BDH("ALNY US Equity","CF_INCR_INVEST","FQ3 2023","FQ3 2023","Currency=USD","Period=FQ","BEST_FPERIOD_OVERRIDE=FQ","FILING_STATUS=MR","SCALING_FORMAT=MLN","Sort=A","Dates=H","DateFormat=P","Fill=—","Direction=H","UseDPDF=Y")</f>
        <v>0</v>
      </c>
      <c r="V30" s="13">
        <f>_xll.BDH("ALNY US Equity","CF_INCR_INVEST","FQ4 2023","FQ4 2023","Currency=USD","Period=FQ","BEST_FPERIOD_OVERRIDE=FQ","FILING_STATUS=MR","SCALING_FORMAT=MLN","Sort=A","Dates=H","DateFormat=P","Fill=—","Direction=H","UseDPDF=Y")</f>
        <v>0</v>
      </c>
      <c r="W30" s="13">
        <f>_xll.BDH("ALNY US Equity","CF_INCR_INVEST","FQ1 2024","FQ1 2024","Currency=USD","Period=FQ","BEST_FPERIOD_OVERRIDE=FQ","FILING_STATUS=MR","SCALING_FORMAT=MLN","Sort=A","Dates=H","DateFormat=P","Fill=—","Direction=H","UseDPDF=Y")</f>
        <v>0</v>
      </c>
      <c r="X30" s="13">
        <f>_xll.BDH("ALNY US Equity","CF_INCR_INVEST","FQ2 2024","FQ2 2024","Currency=USD","Period=FQ","BEST_FPERIOD_OVERRIDE=FQ","FILING_STATUS=MR","SCALING_FORMAT=MLN","Sort=A","Dates=H","DateFormat=P","Fill=—","Direction=H","UseDPDF=Y")</f>
        <v>0</v>
      </c>
      <c r="Y30" s="13">
        <f>_xll.BDH("ALNY US Equity","CF_INCR_INVEST","FQ3 2024","FQ3 2024","Currency=USD","Period=FQ","BEST_FPERIOD_OVERRIDE=FQ","FILING_STATUS=MR","SCALING_FORMAT=MLN","Sort=A","Dates=H","DateFormat=P","Fill=—","Direction=H","UseDPDF=Y")</f>
        <v>0</v>
      </c>
      <c r="Z30" s="13">
        <f>_xll.BDH("ALNY US Equity","CF_INCR_INVEST","FQ4 2024","FQ4 2024","Currency=USD","Period=FQ","BEST_FPERIOD_OVERRIDE=FQ","FILING_STATUS=MR","SCALING_FORMAT=MLN","Sort=A","Dates=H","DateFormat=P","Fill=—","Direction=H","UseDPDF=Y")</f>
        <v>0</v>
      </c>
    </row>
    <row r="31" spans="1:26" x14ac:dyDescent="0.25">
      <c r="A31" s="10" t="s">
        <v>383</v>
      </c>
      <c r="B31" s="10" t="s">
        <v>384</v>
      </c>
      <c r="C31" s="13">
        <f>_xll.BDH("ALNY US Equity","CF_NT_CSH_RCVD_PD_FOR_ACQUIS_DIV","FQ1 2019","FQ1 2019","Currency=USD","Period=FQ","BEST_FPERIOD_OVERRIDE=FQ","FILING_STATUS=MR","SCALING_FORMAT=MLN","Sort=A","Dates=H","DateFormat=P","Fill=—","Direction=H","UseDPDF=Y")</f>
        <v>0</v>
      </c>
      <c r="D31" s="13">
        <f>_xll.BDH("ALNY US Equity","CF_NT_CSH_RCVD_PD_FOR_ACQUIS_DIV","FQ2 2019","FQ2 2019","Currency=USD","Period=FQ","BEST_FPERIOD_OVERRIDE=FQ","FILING_STATUS=MR","SCALING_FORMAT=MLN","Sort=A","Dates=H","DateFormat=P","Fill=—","Direction=H","UseDPDF=Y")</f>
        <v>0</v>
      </c>
      <c r="E31" s="13">
        <f>_xll.BDH("ALNY US Equity","CF_NT_CSH_RCVD_PD_FOR_ACQUIS_DIV","FQ3 2019","FQ3 2019","Currency=USD","Period=FQ","BEST_FPERIOD_OVERRIDE=FQ","FILING_STATUS=MR","SCALING_FORMAT=MLN","Sort=A","Dates=H","DateFormat=P","Fill=—","Direction=H","UseDPDF=Y")</f>
        <v>0</v>
      </c>
      <c r="F31" s="13">
        <f>_xll.BDH("ALNY US Equity","CF_NT_CSH_RCVD_PD_FOR_ACQUIS_DIV","FQ4 2019","FQ4 2019","Currency=USD","Period=FQ","BEST_FPERIOD_OVERRIDE=FQ","FILING_STATUS=MR","SCALING_FORMAT=MLN","Sort=A","Dates=H","DateFormat=P","Fill=—","Direction=H","UseDPDF=Y")</f>
        <v>0</v>
      </c>
      <c r="G31" s="13">
        <f>_xll.BDH("ALNY US Equity","CF_NT_CSH_RCVD_PD_FOR_ACQUIS_DIV","FQ1 2020","FQ1 2020","Currency=USD","Period=FQ","BEST_FPERIOD_OVERRIDE=FQ","FILING_STATUS=MR","SCALING_FORMAT=MLN","Sort=A","Dates=H","DateFormat=P","Fill=—","Direction=H","UseDPDF=Y")</f>
        <v>0</v>
      </c>
      <c r="H31" s="13">
        <f>_xll.BDH("ALNY US Equity","CF_NT_CSH_RCVD_PD_FOR_ACQUIS_DIV","FQ2 2020","FQ2 2020","Currency=USD","Period=FQ","BEST_FPERIOD_OVERRIDE=FQ","FILING_STATUS=MR","SCALING_FORMAT=MLN","Sort=A","Dates=H","DateFormat=P","Fill=—","Direction=H","UseDPDF=Y")</f>
        <v>0</v>
      </c>
      <c r="I31" s="13">
        <f>_xll.BDH("ALNY US Equity","CF_NT_CSH_RCVD_PD_FOR_ACQUIS_DIV","FQ3 2020","FQ3 2020","Currency=USD","Period=FQ","BEST_FPERIOD_OVERRIDE=FQ","FILING_STATUS=MR","SCALING_FORMAT=MLN","Sort=A","Dates=H","DateFormat=P","Fill=—","Direction=H","UseDPDF=Y")</f>
        <v>0</v>
      </c>
      <c r="J31" s="13">
        <f>_xll.BDH("ALNY US Equity","CF_NT_CSH_RCVD_PD_FOR_ACQUIS_DIV","FQ4 2020","FQ4 2020","Currency=USD","Period=FQ","BEST_FPERIOD_OVERRIDE=FQ","FILING_STATUS=MR","SCALING_FORMAT=MLN","Sort=A","Dates=H","DateFormat=P","Fill=—","Direction=H","UseDPDF=Y")</f>
        <v>0</v>
      </c>
      <c r="K31" s="13">
        <f>_xll.BDH("ALNY US Equity","CF_NT_CSH_RCVD_PD_FOR_ACQUIS_DIV","FQ1 2021","FQ1 2021","Currency=USD","Period=FQ","BEST_FPERIOD_OVERRIDE=FQ","FILING_STATUS=MR","SCALING_FORMAT=MLN","Sort=A","Dates=H","DateFormat=P","Fill=—","Direction=H","UseDPDF=Y")</f>
        <v>0</v>
      </c>
      <c r="L31" s="13">
        <f>_xll.BDH("ALNY US Equity","CF_NT_CSH_RCVD_PD_FOR_ACQUIS_DIV","FQ2 2021","FQ2 2021","Currency=USD","Period=FQ","BEST_FPERIOD_OVERRIDE=FQ","FILING_STATUS=MR","SCALING_FORMAT=MLN","Sort=A","Dates=H","DateFormat=P","Fill=—","Direction=H","UseDPDF=Y")</f>
        <v>0</v>
      </c>
      <c r="M31" s="13">
        <f>_xll.BDH("ALNY US Equity","CF_NT_CSH_RCVD_PD_FOR_ACQUIS_DIV","FQ3 2021","FQ3 2021","Currency=USD","Period=FQ","BEST_FPERIOD_OVERRIDE=FQ","FILING_STATUS=MR","SCALING_FORMAT=MLN","Sort=A","Dates=H","DateFormat=P","Fill=—","Direction=H","UseDPDF=Y")</f>
        <v>0</v>
      </c>
      <c r="N31" s="13">
        <f>_xll.BDH("ALNY US Equity","CF_NT_CSH_RCVD_PD_FOR_ACQUIS_DIV","FQ4 2021","FQ4 2021","Currency=USD","Period=FQ","BEST_FPERIOD_OVERRIDE=FQ","FILING_STATUS=MR","SCALING_FORMAT=MLN","Sort=A","Dates=H","DateFormat=P","Fill=—","Direction=H","UseDPDF=Y")</f>
        <v>0</v>
      </c>
      <c r="O31" s="13">
        <f>_xll.BDH("ALNY US Equity","CF_NT_CSH_RCVD_PD_FOR_ACQUIS_DIV","FQ1 2022","FQ1 2022","Currency=USD","Period=FQ","BEST_FPERIOD_OVERRIDE=FQ","FILING_STATUS=MR","SCALING_FORMAT=MLN","Sort=A","Dates=H","DateFormat=P","Fill=—","Direction=H","UseDPDF=Y")</f>
        <v>0</v>
      </c>
      <c r="P31" s="13">
        <f>_xll.BDH("ALNY US Equity","CF_NT_CSH_RCVD_PD_FOR_ACQUIS_DIV","FQ2 2022","FQ2 2022","Currency=USD","Period=FQ","BEST_FPERIOD_OVERRIDE=FQ","FILING_STATUS=MR","SCALING_FORMAT=MLN","Sort=A","Dates=H","DateFormat=P","Fill=—","Direction=H","UseDPDF=Y")</f>
        <v>0</v>
      </c>
      <c r="Q31" s="13">
        <f>_xll.BDH("ALNY US Equity","CF_NT_CSH_RCVD_PD_FOR_ACQUIS_DIV","FQ3 2022","FQ3 2022","Currency=USD","Period=FQ","BEST_FPERIOD_OVERRIDE=FQ","FILING_STATUS=MR","SCALING_FORMAT=MLN","Sort=A","Dates=H","DateFormat=P","Fill=—","Direction=H","UseDPDF=Y")</f>
        <v>0</v>
      </c>
      <c r="R31" s="13">
        <f>_xll.BDH("ALNY US Equity","CF_NT_CSH_RCVD_PD_FOR_ACQUIS_DIV","FQ4 2022","FQ4 2022","Currency=USD","Period=FQ","BEST_FPERIOD_OVERRIDE=FQ","FILING_STATUS=MR","SCALING_FORMAT=MLN","Sort=A","Dates=H","DateFormat=P","Fill=—","Direction=H","UseDPDF=Y")</f>
        <v>0</v>
      </c>
      <c r="S31" s="13">
        <f>_xll.BDH("ALNY US Equity","CF_NT_CSH_RCVD_PD_FOR_ACQUIS_DIV","FQ1 2023","FQ1 2023","Currency=USD","Period=FQ","BEST_FPERIOD_OVERRIDE=FQ","FILING_STATUS=MR","SCALING_FORMAT=MLN","Sort=A","Dates=H","DateFormat=P","Fill=—","Direction=H","UseDPDF=Y")</f>
        <v>0</v>
      </c>
      <c r="T31" s="13">
        <f>_xll.BDH("ALNY US Equity","CF_NT_CSH_RCVD_PD_FOR_ACQUIS_DIV","FQ2 2023","FQ2 2023","Currency=USD","Period=FQ","BEST_FPERIOD_OVERRIDE=FQ","FILING_STATUS=MR","SCALING_FORMAT=MLN","Sort=A","Dates=H","DateFormat=P","Fill=—","Direction=H","UseDPDF=Y")</f>
        <v>0</v>
      </c>
      <c r="U31" s="13">
        <f>_xll.BDH("ALNY US Equity","CF_NT_CSH_RCVD_PD_FOR_ACQUIS_DIV","FQ3 2023","FQ3 2023","Currency=USD","Period=FQ","BEST_FPERIOD_OVERRIDE=FQ","FILING_STATUS=MR","SCALING_FORMAT=MLN","Sort=A","Dates=H","DateFormat=P","Fill=—","Direction=H","UseDPDF=Y")</f>
        <v>0</v>
      </c>
      <c r="V31" s="13">
        <f>_xll.BDH("ALNY US Equity","CF_NT_CSH_RCVD_PD_FOR_ACQUIS_DIV","FQ4 2023","FQ4 2023","Currency=USD","Period=FQ","BEST_FPERIOD_OVERRIDE=FQ","FILING_STATUS=MR","SCALING_FORMAT=MLN","Sort=A","Dates=H","DateFormat=P","Fill=—","Direction=H","UseDPDF=Y")</f>
        <v>0</v>
      </c>
      <c r="W31" s="13">
        <f>_xll.BDH("ALNY US Equity","CF_NT_CSH_RCVD_PD_FOR_ACQUIS_DIV","FQ1 2024","FQ1 2024","Currency=USD","Period=FQ","BEST_FPERIOD_OVERRIDE=FQ","FILING_STATUS=MR","SCALING_FORMAT=MLN","Sort=A","Dates=H","DateFormat=P","Fill=—","Direction=H","UseDPDF=Y")</f>
        <v>0</v>
      </c>
      <c r="X31" s="13">
        <f>_xll.BDH("ALNY US Equity","CF_NT_CSH_RCVD_PD_FOR_ACQUIS_DIV","FQ2 2024","FQ2 2024","Currency=USD","Period=FQ","BEST_FPERIOD_OVERRIDE=FQ","FILING_STATUS=MR","SCALING_FORMAT=MLN","Sort=A","Dates=H","DateFormat=P","Fill=—","Direction=H","UseDPDF=Y")</f>
        <v>0</v>
      </c>
      <c r="Y31" s="13">
        <f>_xll.BDH("ALNY US Equity","CF_NT_CSH_RCVD_PD_FOR_ACQUIS_DIV","FQ3 2024","FQ3 2024","Currency=USD","Period=FQ","BEST_FPERIOD_OVERRIDE=FQ","FILING_STATUS=MR","SCALING_FORMAT=MLN","Sort=A","Dates=H","DateFormat=P","Fill=—","Direction=H","UseDPDF=Y")</f>
        <v>0</v>
      </c>
      <c r="Z31" s="13">
        <f>_xll.BDH("ALNY US Equity","CF_NT_CSH_RCVD_PD_FOR_ACQUIS_DIV","FQ4 2024","FQ4 2024","Currency=USD","Period=FQ","BEST_FPERIOD_OVERRIDE=FQ","FILING_STATUS=MR","SCALING_FORMAT=MLN","Sort=A","Dates=H","DateFormat=P","Fill=—","Direction=H","UseDPDF=Y")</f>
        <v>0</v>
      </c>
    </row>
    <row r="32" spans="1:26" x14ac:dyDescent="0.25">
      <c r="A32" s="10" t="s">
        <v>385</v>
      </c>
      <c r="B32" s="10" t="s">
        <v>386</v>
      </c>
      <c r="C32" s="13">
        <f>_xll.BDH("ALNY US Equity","CF_CASH_FOR_DIVESTITURES","FQ1 2019","FQ1 2019","Currency=USD","Period=FQ","BEST_FPERIOD_OVERRIDE=FQ","FILING_STATUS=MR","SCALING_FORMAT=MLN","Sort=A","Dates=H","DateFormat=P","Fill=—","Direction=H","UseDPDF=Y")</f>
        <v>0</v>
      </c>
      <c r="D32" s="13">
        <f>_xll.BDH("ALNY US Equity","CF_CASH_FOR_DIVESTITURES","FQ2 2019","FQ2 2019","Currency=USD","Period=FQ","BEST_FPERIOD_OVERRIDE=FQ","FILING_STATUS=MR","SCALING_FORMAT=MLN","Sort=A","Dates=H","DateFormat=P","Fill=—","Direction=H","UseDPDF=Y")</f>
        <v>0</v>
      </c>
      <c r="E32" s="13">
        <f>_xll.BDH("ALNY US Equity","CF_CASH_FOR_DIVESTITURES","FQ3 2019","FQ3 2019","Currency=USD","Period=FQ","BEST_FPERIOD_OVERRIDE=FQ","FILING_STATUS=MR","SCALING_FORMAT=MLN","Sort=A","Dates=H","DateFormat=P","Fill=—","Direction=H","UseDPDF=Y")</f>
        <v>0</v>
      </c>
      <c r="F32" s="13">
        <f>_xll.BDH("ALNY US Equity","CF_CASH_FOR_DIVESTITURES","FQ4 2019","FQ4 2019","Currency=USD","Period=FQ","BEST_FPERIOD_OVERRIDE=FQ","FILING_STATUS=MR","SCALING_FORMAT=MLN","Sort=A","Dates=H","DateFormat=P","Fill=—","Direction=H","UseDPDF=Y")</f>
        <v>0</v>
      </c>
      <c r="G32" s="13">
        <f>_xll.BDH("ALNY US Equity","CF_CASH_FOR_DIVESTITURES","FQ1 2020","FQ1 2020","Currency=USD","Period=FQ","BEST_FPERIOD_OVERRIDE=FQ","FILING_STATUS=MR","SCALING_FORMAT=MLN","Sort=A","Dates=H","DateFormat=P","Fill=—","Direction=H","UseDPDF=Y")</f>
        <v>0</v>
      </c>
      <c r="H32" s="13">
        <f>_xll.BDH("ALNY US Equity","CF_CASH_FOR_DIVESTITURES","FQ2 2020","FQ2 2020","Currency=USD","Period=FQ","BEST_FPERIOD_OVERRIDE=FQ","FILING_STATUS=MR","SCALING_FORMAT=MLN","Sort=A","Dates=H","DateFormat=P","Fill=—","Direction=H","UseDPDF=Y")</f>
        <v>0</v>
      </c>
      <c r="I32" s="13">
        <f>_xll.BDH("ALNY US Equity","CF_CASH_FOR_DIVESTITURES","FQ3 2020","FQ3 2020","Currency=USD","Period=FQ","BEST_FPERIOD_OVERRIDE=FQ","FILING_STATUS=MR","SCALING_FORMAT=MLN","Sort=A","Dates=H","DateFormat=P","Fill=—","Direction=H","UseDPDF=Y")</f>
        <v>0</v>
      </c>
      <c r="J32" s="13">
        <f>_xll.BDH("ALNY US Equity","CF_CASH_FOR_DIVESTITURES","FQ4 2020","FQ4 2020","Currency=USD","Period=FQ","BEST_FPERIOD_OVERRIDE=FQ","FILING_STATUS=MR","SCALING_FORMAT=MLN","Sort=A","Dates=H","DateFormat=P","Fill=—","Direction=H","UseDPDF=Y")</f>
        <v>0</v>
      </c>
      <c r="K32" s="13">
        <f>_xll.BDH("ALNY US Equity","CF_CASH_FOR_DIVESTITURES","FQ1 2021","FQ1 2021","Currency=USD","Period=FQ","BEST_FPERIOD_OVERRIDE=FQ","FILING_STATUS=MR","SCALING_FORMAT=MLN","Sort=A","Dates=H","DateFormat=P","Fill=—","Direction=H","UseDPDF=Y")</f>
        <v>0</v>
      </c>
      <c r="L32" s="13">
        <f>_xll.BDH("ALNY US Equity","CF_CASH_FOR_DIVESTITURES","FQ2 2021","FQ2 2021","Currency=USD","Period=FQ","BEST_FPERIOD_OVERRIDE=FQ","FILING_STATUS=MR","SCALING_FORMAT=MLN","Sort=A","Dates=H","DateFormat=P","Fill=—","Direction=H","UseDPDF=Y")</f>
        <v>0</v>
      </c>
      <c r="M32" s="13">
        <f>_xll.BDH("ALNY US Equity","CF_CASH_FOR_DIVESTITURES","FQ3 2021","FQ3 2021","Currency=USD","Period=FQ","BEST_FPERIOD_OVERRIDE=FQ","FILING_STATUS=MR","SCALING_FORMAT=MLN","Sort=A","Dates=H","DateFormat=P","Fill=—","Direction=H","UseDPDF=Y")</f>
        <v>0</v>
      </c>
      <c r="N32" s="13">
        <f>_xll.BDH("ALNY US Equity","CF_CASH_FOR_DIVESTITURES","FQ4 2021","FQ4 2021","Currency=USD","Period=FQ","BEST_FPERIOD_OVERRIDE=FQ","FILING_STATUS=MR","SCALING_FORMAT=MLN","Sort=A","Dates=H","DateFormat=P","Fill=—","Direction=H","UseDPDF=Y")</f>
        <v>0</v>
      </c>
      <c r="O32" s="13">
        <f>_xll.BDH("ALNY US Equity","CF_CASH_FOR_DIVESTITURES","FQ1 2022","FQ1 2022","Currency=USD","Period=FQ","BEST_FPERIOD_OVERRIDE=FQ","FILING_STATUS=MR","SCALING_FORMAT=MLN","Sort=A","Dates=H","DateFormat=P","Fill=—","Direction=H","UseDPDF=Y")</f>
        <v>0</v>
      </c>
      <c r="P32" s="13">
        <f>_xll.BDH("ALNY US Equity","CF_CASH_FOR_DIVESTITURES","FQ2 2022","FQ2 2022","Currency=USD","Period=FQ","BEST_FPERIOD_OVERRIDE=FQ","FILING_STATUS=MR","SCALING_FORMAT=MLN","Sort=A","Dates=H","DateFormat=P","Fill=—","Direction=H","UseDPDF=Y")</f>
        <v>0</v>
      </c>
      <c r="Q32" s="13">
        <f>_xll.BDH("ALNY US Equity","CF_CASH_FOR_DIVESTITURES","FQ3 2022","FQ3 2022","Currency=USD","Period=FQ","BEST_FPERIOD_OVERRIDE=FQ","FILING_STATUS=MR","SCALING_FORMAT=MLN","Sort=A","Dates=H","DateFormat=P","Fill=—","Direction=H","UseDPDF=Y")</f>
        <v>0</v>
      </c>
      <c r="R32" s="13">
        <f>_xll.BDH("ALNY US Equity","CF_CASH_FOR_DIVESTITURES","FQ4 2022","FQ4 2022","Currency=USD","Period=FQ","BEST_FPERIOD_OVERRIDE=FQ","FILING_STATUS=MR","SCALING_FORMAT=MLN","Sort=A","Dates=H","DateFormat=P","Fill=—","Direction=H","UseDPDF=Y")</f>
        <v>0</v>
      </c>
      <c r="S32" s="13">
        <f>_xll.BDH("ALNY US Equity","CF_CASH_FOR_DIVESTITURES","FQ1 2023","FQ1 2023","Currency=USD","Period=FQ","BEST_FPERIOD_OVERRIDE=FQ","FILING_STATUS=MR","SCALING_FORMAT=MLN","Sort=A","Dates=H","DateFormat=P","Fill=—","Direction=H","UseDPDF=Y")</f>
        <v>0</v>
      </c>
      <c r="T32" s="13">
        <f>_xll.BDH("ALNY US Equity","CF_CASH_FOR_DIVESTITURES","FQ2 2023","FQ2 2023","Currency=USD","Period=FQ","BEST_FPERIOD_OVERRIDE=FQ","FILING_STATUS=MR","SCALING_FORMAT=MLN","Sort=A","Dates=H","DateFormat=P","Fill=—","Direction=H","UseDPDF=Y")</f>
        <v>0</v>
      </c>
      <c r="U32" s="13">
        <f>_xll.BDH("ALNY US Equity","CF_CASH_FOR_DIVESTITURES","FQ3 2023","FQ3 2023","Currency=USD","Period=FQ","BEST_FPERIOD_OVERRIDE=FQ","FILING_STATUS=MR","SCALING_FORMAT=MLN","Sort=A","Dates=H","DateFormat=P","Fill=—","Direction=H","UseDPDF=Y")</f>
        <v>0</v>
      </c>
      <c r="V32" s="13">
        <f>_xll.BDH("ALNY US Equity","CF_CASH_FOR_DIVESTITURES","FQ4 2023","FQ4 2023","Currency=USD","Period=FQ","BEST_FPERIOD_OVERRIDE=FQ","FILING_STATUS=MR","SCALING_FORMAT=MLN","Sort=A","Dates=H","DateFormat=P","Fill=—","Direction=H","UseDPDF=Y")</f>
        <v>0</v>
      </c>
      <c r="W32" s="13">
        <f>_xll.BDH("ALNY US Equity","CF_CASH_FOR_DIVESTITURES","FQ1 2024","FQ1 2024","Currency=USD","Period=FQ","BEST_FPERIOD_OVERRIDE=FQ","FILING_STATUS=MR","SCALING_FORMAT=MLN","Sort=A","Dates=H","DateFormat=P","Fill=—","Direction=H","UseDPDF=Y")</f>
        <v>0</v>
      </c>
      <c r="X32" s="13">
        <f>_xll.BDH("ALNY US Equity","CF_CASH_FOR_DIVESTITURES","FQ2 2024","FQ2 2024","Currency=USD","Period=FQ","BEST_FPERIOD_OVERRIDE=FQ","FILING_STATUS=MR","SCALING_FORMAT=MLN","Sort=A","Dates=H","DateFormat=P","Fill=—","Direction=H","UseDPDF=Y")</f>
        <v>0</v>
      </c>
      <c r="Y32" s="13">
        <f>_xll.BDH("ALNY US Equity","CF_CASH_FOR_DIVESTITURES","FQ3 2024","FQ3 2024","Currency=USD","Period=FQ","BEST_FPERIOD_OVERRIDE=FQ","FILING_STATUS=MR","SCALING_FORMAT=MLN","Sort=A","Dates=H","DateFormat=P","Fill=—","Direction=H","UseDPDF=Y")</f>
        <v>0</v>
      </c>
      <c r="Z32" s="13">
        <f>_xll.BDH("ALNY US Equity","CF_CASH_FOR_DIVESTITURES","FQ4 2024","FQ4 2024","Currency=USD","Period=FQ","BEST_FPERIOD_OVERRIDE=FQ","FILING_STATUS=MR","SCALING_FORMAT=MLN","Sort=A","Dates=H","DateFormat=P","Fill=—","Direction=H","UseDPDF=Y")</f>
        <v>0</v>
      </c>
    </row>
    <row r="33" spans="1:26" x14ac:dyDescent="0.25">
      <c r="A33" s="10" t="s">
        <v>387</v>
      </c>
      <c r="B33" s="10" t="s">
        <v>388</v>
      </c>
      <c r="C33" s="13">
        <f>_xll.BDH("ALNY US Equity","CF_CASH_FOR_ACQUIS_SUBSIDIARIES","FQ1 2019","FQ1 2019","Currency=USD","Period=FQ","BEST_FPERIOD_OVERRIDE=FQ","FILING_STATUS=MR","SCALING_FORMAT=MLN","Sort=A","Dates=H","DateFormat=P","Fill=—","Direction=H","UseDPDF=Y")</f>
        <v>0</v>
      </c>
      <c r="D33" s="13">
        <f>_xll.BDH("ALNY US Equity","CF_CASH_FOR_ACQUIS_SUBSIDIARIES","FQ2 2019","FQ2 2019","Currency=USD","Period=FQ","BEST_FPERIOD_OVERRIDE=FQ","FILING_STATUS=MR","SCALING_FORMAT=MLN","Sort=A","Dates=H","DateFormat=P","Fill=—","Direction=H","UseDPDF=Y")</f>
        <v>0</v>
      </c>
      <c r="E33" s="13">
        <f>_xll.BDH("ALNY US Equity","CF_CASH_FOR_ACQUIS_SUBSIDIARIES","FQ3 2019","FQ3 2019","Currency=USD","Period=FQ","BEST_FPERIOD_OVERRIDE=FQ","FILING_STATUS=MR","SCALING_FORMAT=MLN","Sort=A","Dates=H","DateFormat=P","Fill=—","Direction=H","UseDPDF=Y")</f>
        <v>0</v>
      </c>
      <c r="F33" s="13">
        <f>_xll.BDH("ALNY US Equity","CF_CASH_FOR_ACQUIS_SUBSIDIARIES","FQ4 2019","FQ4 2019","Currency=USD","Period=FQ","BEST_FPERIOD_OVERRIDE=FQ","FILING_STATUS=MR","SCALING_FORMAT=MLN","Sort=A","Dates=H","DateFormat=P","Fill=—","Direction=H","UseDPDF=Y")</f>
        <v>0</v>
      </c>
      <c r="G33" s="13">
        <f>_xll.BDH("ALNY US Equity","CF_CASH_FOR_ACQUIS_SUBSIDIARIES","FQ1 2020","FQ1 2020","Currency=USD","Period=FQ","BEST_FPERIOD_OVERRIDE=FQ","FILING_STATUS=MR","SCALING_FORMAT=MLN","Sort=A","Dates=H","DateFormat=P","Fill=—","Direction=H","UseDPDF=Y")</f>
        <v>0</v>
      </c>
      <c r="H33" s="13">
        <f>_xll.BDH("ALNY US Equity","CF_CASH_FOR_ACQUIS_SUBSIDIARIES","FQ2 2020","FQ2 2020","Currency=USD","Period=FQ","BEST_FPERIOD_OVERRIDE=FQ","FILING_STATUS=MR","SCALING_FORMAT=MLN","Sort=A","Dates=H","DateFormat=P","Fill=—","Direction=H","UseDPDF=Y")</f>
        <v>0</v>
      </c>
      <c r="I33" s="13">
        <f>_xll.BDH("ALNY US Equity","CF_CASH_FOR_ACQUIS_SUBSIDIARIES","FQ3 2020","FQ3 2020","Currency=USD","Period=FQ","BEST_FPERIOD_OVERRIDE=FQ","FILING_STATUS=MR","SCALING_FORMAT=MLN","Sort=A","Dates=H","DateFormat=P","Fill=—","Direction=H","UseDPDF=Y")</f>
        <v>0</v>
      </c>
      <c r="J33" s="13">
        <f>_xll.BDH("ALNY US Equity","CF_CASH_FOR_ACQUIS_SUBSIDIARIES","FQ4 2020","FQ4 2020","Currency=USD","Period=FQ","BEST_FPERIOD_OVERRIDE=FQ","FILING_STATUS=MR","SCALING_FORMAT=MLN","Sort=A","Dates=H","DateFormat=P","Fill=—","Direction=H","UseDPDF=Y")</f>
        <v>0</v>
      </c>
      <c r="K33" s="13">
        <f>_xll.BDH("ALNY US Equity","CF_CASH_FOR_ACQUIS_SUBSIDIARIES","FQ1 2021","FQ1 2021","Currency=USD","Period=FQ","BEST_FPERIOD_OVERRIDE=FQ","FILING_STATUS=MR","SCALING_FORMAT=MLN","Sort=A","Dates=H","DateFormat=P","Fill=—","Direction=H","UseDPDF=Y")</f>
        <v>0</v>
      </c>
      <c r="L33" s="13">
        <f>_xll.BDH("ALNY US Equity","CF_CASH_FOR_ACQUIS_SUBSIDIARIES","FQ2 2021","FQ2 2021","Currency=USD","Period=FQ","BEST_FPERIOD_OVERRIDE=FQ","FILING_STATUS=MR","SCALING_FORMAT=MLN","Sort=A","Dates=H","DateFormat=P","Fill=—","Direction=H","UseDPDF=Y")</f>
        <v>0</v>
      </c>
      <c r="M33" s="13">
        <f>_xll.BDH("ALNY US Equity","CF_CASH_FOR_ACQUIS_SUBSIDIARIES","FQ3 2021","FQ3 2021","Currency=USD","Period=FQ","BEST_FPERIOD_OVERRIDE=FQ","FILING_STATUS=MR","SCALING_FORMAT=MLN","Sort=A","Dates=H","DateFormat=P","Fill=—","Direction=H","UseDPDF=Y")</f>
        <v>0</v>
      </c>
      <c r="N33" s="13">
        <f>_xll.BDH("ALNY US Equity","CF_CASH_FOR_ACQUIS_SUBSIDIARIES","FQ4 2021","FQ4 2021","Currency=USD","Period=FQ","BEST_FPERIOD_OVERRIDE=FQ","FILING_STATUS=MR","SCALING_FORMAT=MLN","Sort=A","Dates=H","DateFormat=P","Fill=—","Direction=H","UseDPDF=Y")</f>
        <v>0</v>
      </c>
      <c r="O33" s="13">
        <f>_xll.BDH("ALNY US Equity","CF_CASH_FOR_ACQUIS_SUBSIDIARIES","FQ1 2022","FQ1 2022","Currency=USD","Period=FQ","BEST_FPERIOD_OVERRIDE=FQ","FILING_STATUS=MR","SCALING_FORMAT=MLN","Sort=A","Dates=H","DateFormat=P","Fill=—","Direction=H","UseDPDF=Y")</f>
        <v>0</v>
      </c>
      <c r="P33" s="13">
        <f>_xll.BDH("ALNY US Equity","CF_CASH_FOR_ACQUIS_SUBSIDIARIES","FQ2 2022","FQ2 2022","Currency=USD","Period=FQ","BEST_FPERIOD_OVERRIDE=FQ","FILING_STATUS=MR","SCALING_FORMAT=MLN","Sort=A","Dates=H","DateFormat=P","Fill=—","Direction=H","UseDPDF=Y")</f>
        <v>0</v>
      </c>
      <c r="Q33" s="13">
        <f>_xll.BDH("ALNY US Equity","CF_CASH_FOR_ACQUIS_SUBSIDIARIES","FQ3 2022","FQ3 2022","Currency=USD","Period=FQ","BEST_FPERIOD_OVERRIDE=FQ","FILING_STATUS=MR","SCALING_FORMAT=MLN","Sort=A","Dates=H","DateFormat=P","Fill=—","Direction=H","UseDPDF=Y")</f>
        <v>0</v>
      </c>
      <c r="R33" s="13">
        <f>_xll.BDH("ALNY US Equity","CF_CASH_FOR_ACQUIS_SUBSIDIARIES","FQ4 2022","FQ4 2022","Currency=USD","Period=FQ","BEST_FPERIOD_OVERRIDE=FQ","FILING_STATUS=MR","SCALING_FORMAT=MLN","Sort=A","Dates=H","DateFormat=P","Fill=—","Direction=H","UseDPDF=Y")</f>
        <v>0</v>
      </c>
      <c r="S33" s="13">
        <f>_xll.BDH("ALNY US Equity","CF_CASH_FOR_ACQUIS_SUBSIDIARIES","FQ1 2023","FQ1 2023","Currency=USD","Period=FQ","BEST_FPERIOD_OVERRIDE=FQ","FILING_STATUS=MR","SCALING_FORMAT=MLN","Sort=A","Dates=H","DateFormat=P","Fill=—","Direction=H","UseDPDF=Y")</f>
        <v>0</v>
      </c>
      <c r="T33" s="13">
        <f>_xll.BDH("ALNY US Equity","CF_CASH_FOR_ACQUIS_SUBSIDIARIES","FQ2 2023","FQ2 2023","Currency=USD","Period=FQ","BEST_FPERIOD_OVERRIDE=FQ","FILING_STATUS=MR","SCALING_FORMAT=MLN","Sort=A","Dates=H","DateFormat=P","Fill=—","Direction=H","UseDPDF=Y")</f>
        <v>0</v>
      </c>
      <c r="U33" s="13">
        <f>_xll.BDH("ALNY US Equity","CF_CASH_FOR_ACQUIS_SUBSIDIARIES","FQ3 2023","FQ3 2023","Currency=USD","Period=FQ","BEST_FPERIOD_OVERRIDE=FQ","FILING_STATUS=MR","SCALING_FORMAT=MLN","Sort=A","Dates=H","DateFormat=P","Fill=—","Direction=H","UseDPDF=Y")</f>
        <v>0</v>
      </c>
      <c r="V33" s="13">
        <f>_xll.BDH("ALNY US Equity","CF_CASH_FOR_ACQUIS_SUBSIDIARIES","FQ4 2023","FQ4 2023","Currency=USD","Period=FQ","BEST_FPERIOD_OVERRIDE=FQ","FILING_STATUS=MR","SCALING_FORMAT=MLN","Sort=A","Dates=H","DateFormat=P","Fill=—","Direction=H","UseDPDF=Y")</f>
        <v>0</v>
      </c>
      <c r="W33" s="13">
        <f>_xll.BDH("ALNY US Equity","CF_CASH_FOR_ACQUIS_SUBSIDIARIES","FQ1 2024","FQ1 2024","Currency=USD","Period=FQ","BEST_FPERIOD_OVERRIDE=FQ","FILING_STATUS=MR","SCALING_FORMAT=MLN","Sort=A","Dates=H","DateFormat=P","Fill=—","Direction=H","UseDPDF=Y")</f>
        <v>0</v>
      </c>
      <c r="X33" s="13">
        <f>_xll.BDH("ALNY US Equity","CF_CASH_FOR_ACQUIS_SUBSIDIARIES","FQ2 2024","FQ2 2024","Currency=USD","Period=FQ","BEST_FPERIOD_OVERRIDE=FQ","FILING_STATUS=MR","SCALING_FORMAT=MLN","Sort=A","Dates=H","DateFormat=P","Fill=—","Direction=H","UseDPDF=Y")</f>
        <v>0</v>
      </c>
      <c r="Y33" s="13">
        <f>_xll.BDH("ALNY US Equity","CF_CASH_FOR_ACQUIS_SUBSIDIARIES","FQ3 2024","FQ3 2024","Currency=USD","Period=FQ","BEST_FPERIOD_OVERRIDE=FQ","FILING_STATUS=MR","SCALING_FORMAT=MLN","Sort=A","Dates=H","DateFormat=P","Fill=—","Direction=H","UseDPDF=Y")</f>
        <v>0</v>
      </c>
      <c r="Z33" s="13">
        <f>_xll.BDH("ALNY US Equity","CF_CASH_FOR_ACQUIS_SUBSIDIARIES","FQ4 2024","FQ4 2024","Currency=USD","Period=FQ","BEST_FPERIOD_OVERRIDE=FQ","FILING_STATUS=MR","SCALING_FORMAT=MLN","Sort=A","Dates=H","DateFormat=P","Fill=—","Direction=H","UseDPDF=Y")</f>
        <v>0</v>
      </c>
    </row>
    <row r="34" spans="1:26" x14ac:dyDescent="0.25">
      <c r="A34" s="10" t="s">
        <v>389</v>
      </c>
      <c r="B34" s="10" t="s">
        <v>390</v>
      </c>
      <c r="C34" s="13">
        <f>_xll.BDH("ALNY US Equity","CF_CASH_FOR_JOINT_VENTURES_ASSOC","FQ1 2019","FQ1 2019","Currency=USD","Period=FQ","BEST_FPERIOD_OVERRIDE=FQ","FILING_STATUS=MR","SCALING_FORMAT=MLN","Sort=A","Dates=H","DateFormat=P","Fill=—","Direction=H","UseDPDF=Y")</f>
        <v>0</v>
      </c>
      <c r="D34" s="13">
        <f>_xll.BDH("ALNY US Equity","CF_CASH_FOR_JOINT_VENTURES_ASSOC","FQ2 2019","FQ2 2019","Currency=USD","Period=FQ","BEST_FPERIOD_OVERRIDE=FQ","FILING_STATUS=MR","SCALING_FORMAT=MLN","Sort=A","Dates=H","DateFormat=P","Fill=—","Direction=H","UseDPDF=Y")</f>
        <v>0</v>
      </c>
      <c r="E34" s="13">
        <f>_xll.BDH("ALNY US Equity","CF_CASH_FOR_JOINT_VENTURES_ASSOC","FQ3 2019","FQ3 2019","Currency=USD","Period=FQ","BEST_FPERIOD_OVERRIDE=FQ","FILING_STATUS=MR","SCALING_FORMAT=MLN","Sort=A","Dates=H","DateFormat=P","Fill=—","Direction=H","UseDPDF=Y")</f>
        <v>0</v>
      </c>
      <c r="F34" s="13">
        <f>_xll.BDH("ALNY US Equity","CF_CASH_FOR_JOINT_VENTURES_ASSOC","FQ4 2019","FQ4 2019","Currency=USD","Period=FQ","BEST_FPERIOD_OVERRIDE=FQ","FILING_STATUS=MR","SCALING_FORMAT=MLN","Sort=A","Dates=H","DateFormat=P","Fill=—","Direction=H","UseDPDF=Y")</f>
        <v>0</v>
      </c>
      <c r="G34" s="13">
        <f>_xll.BDH("ALNY US Equity","CF_CASH_FOR_JOINT_VENTURES_ASSOC","FQ1 2020","FQ1 2020","Currency=USD","Period=FQ","BEST_FPERIOD_OVERRIDE=FQ","FILING_STATUS=MR","SCALING_FORMAT=MLN","Sort=A","Dates=H","DateFormat=P","Fill=—","Direction=H","UseDPDF=Y")</f>
        <v>0</v>
      </c>
      <c r="H34" s="13">
        <f>_xll.BDH("ALNY US Equity","CF_CASH_FOR_JOINT_VENTURES_ASSOC","FQ2 2020","FQ2 2020","Currency=USD","Period=FQ","BEST_FPERIOD_OVERRIDE=FQ","FILING_STATUS=MR","SCALING_FORMAT=MLN","Sort=A","Dates=H","DateFormat=P","Fill=—","Direction=H","UseDPDF=Y")</f>
        <v>0</v>
      </c>
      <c r="I34" s="13">
        <f>_xll.BDH("ALNY US Equity","CF_CASH_FOR_JOINT_VENTURES_ASSOC","FQ3 2020","FQ3 2020","Currency=USD","Period=FQ","BEST_FPERIOD_OVERRIDE=FQ","FILING_STATUS=MR","SCALING_FORMAT=MLN","Sort=A","Dates=H","DateFormat=P","Fill=—","Direction=H","UseDPDF=Y")</f>
        <v>0</v>
      </c>
      <c r="J34" s="13">
        <f>_xll.BDH("ALNY US Equity","CF_CASH_FOR_JOINT_VENTURES_ASSOC","FQ4 2020","FQ4 2020","Currency=USD","Period=FQ","BEST_FPERIOD_OVERRIDE=FQ","FILING_STATUS=MR","SCALING_FORMAT=MLN","Sort=A","Dates=H","DateFormat=P","Fill=—","Direction=H","UseDPDF=Y")</f>
        <v>0</v>
      </c>
      <c r="K34" s="13">
        <f>_xll.BDH("ALNY US Equity","CF_CASH_FOR_JOINT_VENTURES_ASSOC","FQ1 2021","FQ1 2021","Currency=USD","Period=FQ","BEST_FPERIOD_OVERRIDE=FQ","FILING_STATUS=MR","SCALING_FORMAT=MLN","Sort=A","Dates=H","DateFormat=P","Fill=—","Direction=H","UseDPDF=Y")</f>
        <v>0</v>
      </c>
      <c r="L34" s="13">
        <f>_xll.BDH("ALNY US Equity","CF_CASH_FOR_JOINT_VENTURES_ASSOC","FQ2 2021","FQ2 2021","Currency=USD","Period=FQ","BEST_FPERIOD_OVERRIDE=FQ","FILING_STATUS=MR","SCALING_FORMAT=MLN","Sort=A","Dates=H","DateFormat=P","Fill=—","Direction=H","UseDPDF=Y")</f>
        <v>0</v>
      </c>
      <c r="M34" s="13">
        <f>_xll.BDH("ALNY US Equity","CF_CASH_FOR_JOINT_VENTURES_ASSOC","FQ3 2021","FQ3 2021","Currency=USD","Period=FQ","BEST_FPERIOD_OVERRIDE=FQ","FILING_STATUS=MR","SCALING_FORMAT=MLN","Sort=A","Dates=H","DateFormat=P","Fill=—","Direction=H","UseDPDF=Y")</f>
        <v>0</v>
      </c>
      <c r="N34" s="13">
        <f>_xll.BDH("ALNY US Equity","CF_CASH_FOR_JOINT_VENTURES_ASSOC","FQ4 2021","FQ4 2021","Currency=USD","Period=FQ","BEST_FPERIOD_OVERRIDE=FQ","FILING_STATUS=MR","SCALING_FORMAT=MLN","Sort=A","Dates=H","DateFormat=P","Fill=—","Direction=H","UseDPDF=Y")</f>
        <v>0</v>
      </c>
      <c r="O34" s="13">
        <f>_xll.BDH("ALNY US Equity","CF_CASH_FOR_JOINT_VENTURES_ASSOC","FQ1 2022","FQ1 2022","Currency=USD","Period=FQ","BEST_FPERIOD_OVERRIDE=FQ","FILING_STATUS=MR","SCALING_FORMAT=MLN","Sort=A","Dates=H","DateFormat=P","Fill=—","Direction=H","UseDPDF=Y")</f>
        <v>0</v>
      </c>
      <c r="P34" s="13">
        <f>_xll.BDH("ALNY US Equity","CF_CASH_FOR_JOINT_VENTURES_ASSOC","FQ2 2022","FQ2 2022","Currency=USD","Period=FQ","BEST_FPERIOD_OVERRIDE=FQ","FILING_STATUS=MR","SCALING_FORMAT=MLN","Sort=A","Dates=H","DateFormat=P","Fill=—","Direction=H","UseDPDF=Y")</f>
        <v>0</v>
      </c>
      <c r="Q34" s="13">
        <f>_xll.BDH("ALNY US Equity","CF_CASH_FOR_JOINT_VENTURES_ASSOC","FQ3 2022","FQ3 2022","Currency=USD","Period=FQ","BEST_FPERIOD_OVERRIDE=FQ","FILING_STATUS=MR","SCALING_FORMAT=MLN","Sort=A","Dates=H","DateFormat=P","Fill=—","Direction=H","UseDPDF=Y")</f>
        <v>0</v>
      </c>
      <c r="R34" s="13">
        <f>_xll.BDH("ALNY US Equity","CF_CASH_FOR_JOINT_VENTURES_ASSOC","FQ4 2022","FQ4 2022","Currency=USD","Period=FQ","BEST_FPERIOD_OVERRIDE=FQ","FILING_STATUS=MR","SCALING_FORMAT=MLN","Sort=A","Dates=H","DateFormat=P","Fill=—","Direction=H","UseDPDF=Y")</f>
        <v>0</v>
      </c>
      <c r="S34" s="13">
        <f>_xll.BDH("ALNY US Equity","CF_CASH_FOR_JOINT_VENTURES_ASSOC","FQ1 2023","FQ1 2023","Currency=USD","Period=FQ","BEST_FPERIOD_OVERRIDE=FQ","FILING_STATUS=MR","SCALING_FORMAT=MLN","Sort=A","Dates=H","DateFormat=P","Fill=—","Direction=H","UseDPDF=Y")</f>
        <v>0</v>
      </c>
      <c r="T34" s="13">
        <f>_xll.BDH("ALNY US Equity","CF_CASH_FOR_JOINT_VENTURES_ASSOC","FQ2 2023","FQ2 2023","Currency=USD","Period=FQ","BEST_FPERIOD_OVERRIDE=FQ","FILING_STATUS=MR","SCALING_FORMAT=MLN","Sort=A","Dates=H","DateFormat=P","Fill=—","Direction=H","UseDPDF=Y")</f>
        <v>0</v>
      </c>
      <c r="U34" s="13">
        <f>_xll.BDH("ALNY US Equity","CF_CASH_FOR_JOINT_VENTURES_ASSOC","FQ3 2023","FQ3 2023","Currency=USD","Period=FQ","BEST_FPERIOD_OVERRIDE=FQ","FILING_STATUS=MR","SCALING_FORMAT=MLN","Sort=A","Dates=H","DateFormat=P","Fill=—","Direction=H","UseDPDF=Y")</f>
        <v>0</v>
      </c>
      <c r="V34" s="13">
        <f>_xll.BDH("ALNY US Equity","CF_CASH_FOR_JOINT_VENTURES_ASSOC","FQ4 2023","FQ4 2023","Currency=USD","Period=FQ","BEST_FPERIOD_OVERRIDE=FQ","FILING_STATUS=MR","SCALING_FORMAT=MLN","Sort=A","Dates=H","DateFormat=P","Fill=—","Direction=H","UseDPDF=Y")</f>
        <v>0</v>
      </c>
      <c r="W34" s="13">
        <f>_xll.BDH("ALNY US Equity","CF_CASH_FOR_JOINT_VENTURES_ASSOC","FQ1 2024","FQ1 2024","Currency=USD","Period=FQ","BEST_FPERIOD_OVERRIDE=FQ","FILING_STATUS=MR","SCALING_FORMAT=MLN","Sort=A","Dates=H","DateFormat=P","Fill=—","Direction=H","UseDPDF=Y")</f>
        <v>0</v>
      </c>
      <c r="X34" s="13">
        <f>_xll.BDH("ALNY US Equity","CF_CASH_FOR_JOINT_VENTURES_ASSOC","FQ2 2024","FQ2 2024","Currency=USD","Period=FQ","BEST_FPERIOD_OVERRIDE=FQ","FILING_STATUS=MR","SCALING_FORMAT=MLN","Sort=A","Dates=H","DateFormat=P","Fill=—","Direction=H","UseDPDF=Y")</f>
        <v>0</v>
      </c>
      <c r="Y34" s="13">
        <f>_xll.BDH("ALNY US Equity","CF_CASH_FOR_JOINT_VENTURES_ASSOC","FQ3 2024","FQ3 2024","Currency=USD","Period=FQ","BEST_FPERIOD_OVERRIDE=FQ","FILING_STATUS=MR","SCALING_FORMAT=MLN","Sort=A","Dates=H","DateFormat=P","Fill=—","Direction=H","UseDPDF=Y")</f>
        <v>0</v>
      </c>
      <c r="Z34" s="13">
        <f>_xll.BDH("ALNY US Equity","CF_CASH_FOR_JOINT_VENTURES_ASSOC","FQ4 2024","FQ4 2024","Currency=USD","Period=FQ","BEST_FPERIOD_OVERRIDE=FQ","FILING_STATUS=MR","SCALING_FORMAT=MLN","Sort=A","Dates=H","DateFormat=P","Fill=—","Direction=H","UseDPDF=Y")</f>
        <v>0</v>
      </c>
    </row>
    <row r="35" spans="1:26" x14ac:dyDescent="0.25">
      <c r="A35" s="10" t="s">
        <v>391</v>
      </c>
      <c r="B35" s="10" t="s">
        <v>392</v>
      </c>
      <c r="C35" s="13">
        <f>_xll.BDH("ALNY US Equity","OTHER_INVESTING_ACT_DETAILED","FQ1 2019","FQ1 2019","Currency=USD","Period=FQ","BEST_FPERIOD_OVERRIDE=FQ","FILING_STATUS=MR","SCALING_FORMAT=MLN","Sort=A","Dates=H","DateFormat=P","Fill=—","Direction=H","UseDPDF=Y")</f>
        <v>146.70099999999999</v>
      </c>
      <c r="D35" s="13">
        <f>_xll.BDH("ALNY US Equity","OTHER_INVESTING_ACT_DETAILED","FQ2 2019","FQ2 2019","Currency=USD","Period=FQ","BEST_FPERIOD_OVERRIDE=FQ","FILING_STATUS=MR","SCALING_FORMAT=MLN","Sort=A","Dates=H","DateFormat=P","Fill=—","Direction=H","UseDPDF=Y")</f>
        <v>-268.15800000000002</v>
      </c>
      <c r="E35" s="13">
        <f>_xll.BDH("ALNY US Equity","OTHER_INVESTING_ACT_DETAILED","FQ3 2019","FQ3 2019","Currency=USD","Period=FQ","BEST_FPERIOD_OVERRIDE=FQ","FILING_STATUS=MR","SCALING_FORMAT=MLN","Sort=A","Dates=H","DateFormat=P","Fill=—","Direction=H","UseDPDF=Y")</f>
        <v>-4.0190000000000001</v>
      </c>
      <c r="F35" s="13">
        <f>_xll.BDH("ALNY US Equity","OTHER_INVESTING_ACT_DETAILED","FQ4 2019","FQ4 2019","Currency=USD","Period=FQ","BEST_FPERIOD_OVERRIDE=FQ","FILING_STATUS=MR","SCALING_FORMAT=MLN","Sort=A","Dates=H","DateFormat=P","Fill=—","Direction=H","UseDPDF=Y")</f>
        <v>-182.04499999999999</v>
      </c>
      <c r="G35" s="13">
        <f>_xll.BDH("ALNY US Equity","OTHER_INVESTING_ACT_DETAILED","FQ1 2020","FQ1 2020","Currency=USD","Period=FQ","BEST_FPERIOD_OVERRIDE=FQ","FILING_STATUS=MR","SCALING_FORMAT=MLN","Sort=A","Dates=H","DateFormat=P","Fill=—","Direction=H","UseDPDF=Y")</f>
        <v>133.30500000000001</v>
      </c>
      <c r="H35" s="13">
        <f>_xll.BDH("ALNY US Equity","OTHER_INVESTING_ACT_DETAILED","FQ2 2020","FQ2 2020","Currency=USD","Period=FQ","BEST_FPERIOD_OVERRIDE=FQ","FILING_STATUS=MR","SCALING_FORMAT=MLN","Sort=A","Dates=H","DateFormat=P","Fill=—","Direction=H","UseDPDF=Y")</f>
        <v>-424.572</v>
      </c>
      <c r="I35" s="13">
        <f>_xll.BDH("ALNY US Equity","OTHER_INVESTING_ACT_DETAILED","FQ3 2020","FQ3 2020","Currency=USD","Period=FQ","BEST_FPERIOD_OVERRIDE=FQ","FILING_STATUS=MR","SCALING_FORMAT=MLN","Sort=A","Dates=H","DateFormat=P","Fill=—","Direction=H","UseDPDF=Y")</f>
        <v>2.33</v>
      </c>
      <c r="J35" s="13">
        <f>_xll.BDH("ALNY US Equity","OTHER_INVESTING_ACT_DETAILED","FQ4 2020","FQ4 2020","Currency=USD","Period=FQ","BEST_FPERIOD_OVERRIDE=FQ","FILING_STATUS=MR","SCALING_FORMAT=MLN","Sort=A","Dates=H","DateFormat=P","Fill=—","Direction=H","UseDPDF=Y")</f>
        <v>-76.22</v>
      </c>
      <c r="K35" s="13">
        <f>_xll.BDH("ALNY US Equity","OTHER_INVESTING_ACT_DETAILED","FQ1 2021","FQ1 2021","Currency=USD","Period=FQ","BEST_FPERIOD_OVERRIDE=FQ","FILING_STATUS=MR","SCALING_FORMAT=MLN","Sort=A","Dates=H","DateFormat=P","Fill=—","Direction=H","UseDPDF=Y")</f>
        <v>88.53</v>
      </c>
      <c r="L35" s="13">
        <f>_xll.BDH("ALNY US Equity","OTHER_INVESTING_ACT_DETAILED","FQ2 2021","FQ2 2021","Currency=USD","Period=FQ","BEST_FPERIOD_OVERRIDE=FQ","FILING_STATUS=MR","SCALING_FORMAT=MLN","Sort=A","Dates=H","DateFormat=P","Fill=—","Direction=H","UseDPDF=Y")</f>
        <v>157.62</v>
      </c>
      <c r="M35" s="13">
        <f>_xll.BDH("ALNY US Equity","OTHER_INVESTING_ACT_DETAILED","FQ3 2021","FQ3 2021","Currency=USD","Period=FQ","BEST_FPERIOD_OVERRIDE=FQ","FILING_STATUS=MR","SCALING_FORMAT=MLN","Sort=A","Dates=H","DateFormat=P","Fill=—","Direction=H","UseDPDF=Y")</f>
        <v>-77.534000000000006</v>
      </c>
      <c r="N35" s="13">
        <f>_xll.BDH("ALNY US Equity","OTHER_INVESTING_ACT_DETAILED","FQ4 2021","FQ4 2021","Currency=USD","Period=FQ","BEST_FPERIOD_OVERRIDE=FQ","FILING_STATUS=MR","SCALING_FORMAT=MLN","Sort=A","Dates=H","DateFormat=P","Fill=—","Direction=H","UseDPDF=Y")</f>
        <v>-407.51900000000001</v>
      </c>
      <c r="O35" s="13">
        <f>_xll.BDH("ALNY US Equity","OTHER_INVESTING_ACT_DETAILED","FQ1 2022","FQ1 2022","Currency=USD","Period=FQ","BEST_FPERIOD_OVERRIDE=FQ","FILING_STATUS=MR","SCALING_FORMAT=MLN","Sort=A","Dates=H","DateFormat=P","Fill=—","Direction=H","UseDPDF=Y")</f>
        <v>-129.56</v>
      </c>
      <c r="P35" s="13">
        <f>_xll.BDH("ALNY US Equity","OTHER_INVESTING_ACT_DETAILED","FQ2 2022","FQ2 2022","Currency=USD","Period=FQ","BEST_FPERIOD_OVERRIDE=FQ","FILING_STATUS=MR","SCALING_FORMAT=MLN","Sort=A","Dates=H","DateFormat=P","Fill=—","Direction=H","UseDPDF=Y")</f>
        <v>158.84800000000001</v>
      </c>
      <c r="Q35" s="13">
        <f>_xll.BDH("ALNY US Equity","OTHER_INVESTING_ACT_DETAILED","FQ3 2022","FQ3 2022","Currency=USD","Period=FQ","BEST_FPERIOD_OVERRIDE=FQ","FILING_STATUS=MR","SCALING_FORMAT=MLN","Sort=A","Dates=H","DateFormat=P","Fill=—","Direction=H","UseDPDF=Y")</f>
        <v>240.45</v>
      </c>
      <c r="R35" s="13">
        <f>_xll.BDH("ALNY US Equity","OTHER_INVESTING_ACT_DETAILED","FQ4 2022","FQ4 2022","Currency=USD","Period=FQ","BEST_FPERIOD_OVERRIDE=FQ","FILING_STATUS=MR","SCALING_FORMAT=MLN","Sort=A","Dates=H","DateFormat=P","Fill=—","Direction=H","UseDPDF=Y")</f>
        <v>-118.276</v>
      </c>
      <c r="S35" s="13">
        <f>_xll.BDH("ALNY US Equity","OTHER_INVESTING_ACT_DETAILED","FQ1 2023","FQ1 2023","Currency=USD","Period=FQ","BEST_FPERIOD_OVERRIDE=FQ","FILING_STATUS=MR","SCALING_FORMAT=MLN","Sort=A","Dates=H","DateFormat=P","Fill=—","Direction=H","UseDPDF=Y")</f>
        <v>-62.326000000000001</v>
      </c>
      <c r="T35" s="13">
        <f>_xll.BDH("ALNY US Equity","OTHER_INVESTING_ACT_DETAILED","FQ2 2023","FQ2 2023","Currency=USD","Period=FQ","BEST_FPERIOD_OVERRIDE=FQ","FILING_STATUS=MR","SCALING_FORMAT=MLN","Sort=A","Dates=H","DateFormat=P","Fill=—","Direction=H","UseDPDF=Y")</f>
        <v>7.2060000000000004</v>
      </c>
      <c r="U35" s="13">
        <f>_xll.BDH("ALNY US Equity","OTHER_INVESTING_ACT_DETAILED","FQ3 2023","FQ3 2023","Currency=USD","Period=FQ","BEST_FPERIOD_OVERRIDE=FQ","FILING_STATUS=MR","SCALING_FORMAT=MLN","Sort=A","Dates=H","DateFormat=P","Fill=—","Direction=H","UseDPDF=Y")</f>
        <v>6.3280000000000003</v>
      </c>
      <c r="V35" s="13">
        <f>_xll.BDH("ALNY US Equity","OTHER_INVESTING_ACT_DETAILED","FQ4 2023","FQ4 2023","Currency=USD","Period=FQ","BEST_FPERIOD_OVERRIDE=FQ","FILING_STATUS=MR","SCALING_FORMAT=MLN","Sort=A","Dates=H","DateFormat=P","Fill=—","Direction=H","UseDPDF=Y")</f>
        <v>-283.822</v>
      </c>
      <c r="W35" s="13">
        <f>_xll.BDH("ALNY US Equity","OTHER_INVESTING_ACT_DETAILED","FQ1 2024","FQ1 2024","Currency=USD","Period=FQ","BEST_FPERIOD_OVERRIDE=FQ","FILING_STATUS=MR","SCALING_FORMAT=MLN","Sort=A","Dates=H","DateFormat=P","Fill=—","Direction=H","UseDPDF=Y")</f>
        <v>-54.646999999999998</v>
      </c>
      <c r="X35" s="13">
        <f>_xll.BDH("ALNY US Equity","OTHER_INVESTING_ACT_DETAILED","FQ2 2024","FQ2 2024","Currency=USD","Period=FQ","BEST_FPERIOD_OVERRIDE=FQ","FILING_STATUS=MR","SCALING_FORMAT=MLN","Sort=A","Dates=H","DateFormat=P","Fill=—","Direction=H","UseDPDF=Y")</f>
        <v>41.957999999999998</v>
      </c>
      <c r="Y35" s="13">
        <f>_xll.BDH("ALNY US Equity","OTHER_INVESTING_ACT_DETAILED","FQ3 2024","FQ3 2024","Currency=USD","Period=FQ","BEST_FPERIOD_OVERRIDE=FQ","FILING_STATUS=MR","SCALING_FORMAT=MLN","Sort=A","Dates=H","DateFormat=P","Fill=—","Direction=H","UseDPDF=Y")</f>
        <v>-26.058</v>
      </c>
      <c r="Z35" s="13">
        <f>_xll.BDH("ALNY US Equity","OTHER_INVESTING_ACT_DETAILED","FQ4 2024","FQ4 2024","Currency=USD","Period=FQ","BEST_FPERIOD_OVERRIDE=FQ","FILING_STATUS=MR","SCALING_FORMAT=MLN","Sort=A","Dates=H","DateFormat=P","Fill=—","Direction=H","UseDPDF=Y")</f>
        <v>-101.691</v>
      </c>
    </row>
    <row r="36" spans="1:26" x14ac:dyDescent="0.25">
      <c r="A36" s="10" t="s">
        <v>359</v>
      </c>
      <c r="B36" s="10" t="s">
        <v>393</v>
      </c>
      <c r="C36" s="13">
        <f>_xll.BDH("ALNY US Equity","CF_NET_CASH_DISCONTINUED_OPS_INV","FQ1 2019","FQ1 2019","Currency=USD","Period=FQ","BEST_FPERIOD_OVERRIDE=FQ","FILING_STATUS=MR","SCALING_FORMAT=MLN","Sort=A","Dates=H","DateFormat=P","Fill=—","Direction=H","UseDPDF=Y")</f>
        <v>0</v>
      </c>
      <c r="D36" s="13">
        <f>_xll.BDH("ALNY US Equity","CF_NET_CASH_DISCONTINUED_OPS_INV","FQ2 2019","FQ2 2019","Currency=USD","Period=FQ","BEST_FPERIOD_OVERRIDE=FQ","FILING_STATUS=MR","SCALING_FORMAT=MLN","Sort=A","Dates=H","DateFormat=P","Fill=—","Direction=H","UseDPDF=Y")</f>
        <v>0</v>
      </c>
      <c r="E36" s="13">
        <f>_xll.BDH("ALNY US Equity","CF_NET_CASH_DISCONTINUED_OPS_INV","FQ3 2019","FQ3 2019","Currency=USD","Period=FQ","BEST_FPERIOD_OVERRIDE=FQ","FILING_STATUS=MR","SCALING_FORMAT=MLN","Sort=A","Dates=H","DateFormat=P","Fill=—","Direction=H","UseDPDF=Y")</f>
        <v>0</v>
      </c>
      <c r="F36" s="13">
        <f>_xll.BDH("ALNY US Equity","CF_NET_CASH_DISCONTINUED_OPS_INV","FQ4 2019","FQ4 2019","Currency=USD","Period=FQ","BEST_FPERIOD_OVERRIDE=FQ","FILING_STATUS=MR","SCALING_FORMAT=MLN","Sort=A","Dates=H","DateFormat=P","Fill=—","Direction=H","UseDPDF=Y")</f>
        <v>0</v>
      </c>
      <c r="G36" s="13">
        <f>_xll.BDH("ALNY US Equity","CF_NET_CASH_DISCONTINUED_OPS_INV","FQ1 2020","FQ1 2020","Currency=USD","Period=FQ","BEST_FPERIOD_OVERRIDE=FQ","FILING_STATUS=MR","SCALING_FORMAT=MLN","Sort=A","Dates=H","DateFormat=P","Fill=—","Direction=H","UseDPDF=Y")</f>
        <v>0</v>
      </c>
      <c r="H36" s="13">
        <f>_xll.BDH("ALNY US Equity","CF_NET_CASH_DISCONTINUED_OPS_INV","FQ2 2020","FQ2 2020","Currency=USD","Period=FQ","BEST_FPERIOD_OVERRIDE=FQ","FILING_STATUS=MR","SCALING_FORMAT=MLN","Sort=A","Dates=H","DateFormat=P","Fill=—","Direction=H","UseDPDF=Y")</f>
        <v>0</v>
      </c>
      <c r="I36" s="13">
        <f>_xll.BDH("ALNY US Equity","CF_NET_CASH_DISCONTINUED_OPS_INV","FQ3 2020","FQ3 2020","Currency=USD","Period=FQ","BEST_FPERIOD_OVERRIDE=FQ","FILING_STATUS=MR","SCALING_FORMAT=MLN","Sort=A","Dates=H","DateFormat=P","Fill=—","Direction=H","UseDPDF=Y")</f>
        <v>0</v>
      </c>
      <c r="J36" s="13">
        <f>_xll.BDH("ALNY US Equity","CF_NET_CASH_DISCONTINUED_OPS_INV","FQ4 2020","FQ4 2020","Currency=USD","Period=FQ","BEST_FPERIOD_OVERRIDE=FQ","FILING_STATUS=MR","SCALING_FORMAT=MLN","Sort=A","Dates=H","DateFormat=P","Fill=—","Direction=H","UseDPDF=Y")</f>
        <v>0</v>
      </c>
      <c r="K36" s="13">
        <f>_xll.BDH("ALNY US Equity","CF_NET_CASH_DISCONTINUED_OPS_INV","FQ1 2021","FQ1 2021","Currency=USD","Period=FQ","BEST_FPERIOD_OVERRIDE=FQ","FILING_STATUS=MR","SCALING_FORMAT=MLN","Sort=A","Dates=H","DateFormat=P","Fill=—","Direction=H","UseDPDF=Y")</f>
        <v>0</v>
      </c>
      <c r="L36" s="13">
        <f>_xll.BDH("ALNY US Equity","CF_NET_CASH_DISCONTINUED_OPS_INV","FQ2 2021","FQ2 2021","Currency=USD","Period=FQ","BEST_FPERIOD_OVERRIDE=FQ","FILING_STATUS=MR","SCALING_FORMAT=MLN","Sort=A","Dates=H","DateFormat=P","Fill=—","Direction=H","UseDPDF=Y")</f>
        <v>0</v>
      </c>
      <c r="M36" s="13">
        <f>_xll.BDH("ALNY US Equity","CF_NET_CASH_DISCONTINUED_OPS_INV","FQ3 2021","FQ3 2021","Currency=USD","Period=FQ","BEST_FPERIOD_OVERRIDE=FQ","FILING_STATUS=MR","SCALING_FORMAT=MLN","Sort=A","Dates=H","DateFormat=P","Fill=—","Direction=H","UseDPDF=Y")</f>
        <v>0</v>
      </c>
      <c r="N36" s="13">
        <f>_xll.BDH("ALNY US Equity","CF_NET_CASH_DISCONTINUED_OPS_INV","FQ4 2021","FQ4 2021","Currency=USD","Period=FQ","BEST_FPERIOD_OVERRIDE=FQ","FILING_STATUS=MR","SCALING_FORMAT=MLN","Sort=A","Dates=H","DateFormat=P","Fill=—","Direction=H","UseDPDF=Y")</f>
        <v>0</v>
      </c>
      <c r="O36" s="13">
        <f>_xll.BDH("ALNY US Equity","CF_NET_CASH_DISCONTINUED_OPS_INV","FQ1 2022","FQ1 2022","Currency=USD","Period=FQ","BEST_FPERIOD_OVERRIDE=FQ","FILING_STATUS=MR","SCALING_FORMAT=MLN","Sort=A","Dates=H","DateFormat=P","Fill=—","Direction=H","UseDPDF=Y")</f>
        <v>0</v>
      </c>
      <c r="P36" s="13">
        <f>_xll.BDH("ALNY US Equity","CF_NET_CASH_DISCONTINUED_OPS_INV","FQ2 2022","FQ2 2022","Currency=USD","Period=FQ","BEST_FPERIOD_OVERRIDE=FQ","FILING_STATUS=MR","SCALING_FORMAT=MLN","Sort=A","Dates=H","DateFormat=P","Fill=—","Direction=H","UseDPDF=Y")</f>
        <v>0</v>
      </c>
      <c r="Q36" s="13">
        <f>_xll.BDH("ALNY US Equity","CF_NET_CASH_DISCONTINUED_OPS_INV","FQ3 2022","FQ3 2022","Currency=USD","Period=FQ","BEST_FPERIOD_OVERRIDE=FQ","FILING_STATUS=MR","SCALING_FORMAT=MLN","Sort=A","Dates=H","DateFormat=P","Fill=—","Direction=H","UseDPDF=Y")</f>
        <v>0</v>
      </c>
      <c r="R36" s="13">
        <f>_xll.BDH("ALNY US Equity","CF_NET_CASH_DISCONTINUED_OPS_INV","FQ4 2022","FQ4 2022","Currency=USD","Period=FQ","BEST_FPERIOD_OVERRIDE=FQ","FILING_STATUS=MR","SCALING_FORMAT=MLN","Sort=A","Dates=H","DateFormat=P","Fill=—","Direction=H","UseDPDF=Y")</f>
        <v>0</v>
      </c>
      <c r="S36" s="13">
        <f>_xll.BDH("ALNY US Equity","CF_NET_CASH_DISCONTINUED_OPS_INV","FQ1 2023","FQ1 2023","Currency=USD","Period=FQ","BEST_FPERIOD_OVERRIDE=FQ","FILING_STATUS=MR","SCALING_FORMAT=MLN","Sort=A","Dates=H","DateFormat=P","Fill=—","Direction=H","UseDPDF=Y")</f>
        <v>0</v>
      </c>
      <c r="T36" s="13">
        <f>_xll.BDH("ALNY US Equity","CF_NET_CASH_DISCONTINUED_OPS_INV","FQ2 2023","FQ2 2023","Currency=USD","Period=FQ","BEST_FPERIOD_OVERRIDE=FQ","FILING_STATUS=MR","SCALING_FORMAT=MLN","Sort=A","Dates=H","DateFormat=P","Fill=—","Direction=H","UseDPDF=Y")</f>
        <v>0</v>
      </c>
      <c r="U36" s="13">
        <f>_xll.BDH("ALNY US Equity","CF_NET_CASH_DISCONTINUED_OPS_INV","FQ3 2023","FQ3 2023","Currency=USD","Period=FQ","BEST_FPERIOD_OVERRIDE=FQ","FILING_STATUS=MR","SCALING_FORMAT=MLN","Sort=A","Dates=H","DateFormat=P","Fill=—","Direction=H","UseDPDF=Y")</f>
        <v>0</v>
      </c>
      <c r="V36" s="13">
        <f>_xll.BDH("ALNY US Equity","CF_NET_CASH_DISCONTINUED_OPS_INV","FQ4 2023","FQ4 2023","Currency=USD","Period=FQ","BEST_FPERIOD_OVERRIDE=FQ","FILING_STATUS=MR","SCALING_FORMAT=MLN","Sort=A","Dates=H","DateFormat=P","Fill=—","Direction=H","UseDPDF=Y")</f>
        <v>0</v>
      </c>
      <c r="W36" s="13">
        <f>_xll.BDH("ALNY US Equity","CF_NET_CASH_DISCONTINUED_OPS_INV","FQ1 2024","FQ1 2024","Currency=USD","Period=FQ","BEST_FPERIOD_OVERRIDE=FQ","FILING_STATUS=MR","SCALING_FORMAT=MLN","Sort=A","Dates=H","DateFormat=P","Fill=—","Direction=H","UseDPDF=Y")</f>
        <v>0</v>
      </c>
      <c r="X36" s="13">
        <f>_xll.BDH("ALNY US Equity","CF_NET_CASH_DISCONTINUED_OPS_INV","FQ2 2024","FQ2 2024","Currency=USD","Period=FQ","BEST_FPERIOD_OVERRIDE=FQ","FILING_STATUS=MR","SCALING_FORMAT=MLN","Sort=A","Dates=H","DateFormat=P","Fill=—","Direction=H","UseDPDF=Y")</f>
        <v>0</v>
      </c>
      <c r="Y36" s="13">
        <f>_xll.BDH("ALNY US Equity","CF_NET_CASH_DISCONTINUED_OPS_INV","FQ3 2024","FQ3 2024","Currency=USD","Period=FQ","BEST_FPERIOD_OVERRIDE=FQ","FILING_STATUS=MR","SCALING_FORMAT=MLN","Sort=A","Dates=H","DateFormat=P","Fill=—","Direction=H","UseDPDF=Y")</f>
        <v>0</v>
      </c>
      <c r="Z36" s="13">
        <f>_xll.BDH("ALNY US Equity","CF_NET_CASH_DISCONTINUED_OPS_INV","FQ4 2024","FQ4 2024","Currency=USD","Period=FQ","BEST_FPERIOD_OVERRIDE=FQ","FILING_STATUS=MR","SCALING_FORMAT=MLN","Sort=A","Dates=H","DateFormat=P","Fill=—","Direction=H","UseDPDF=Y")</f>
        <v>0</v>
      </c>
    </row>
    <row r="37" spans="1:26" x14ac:dyDescent="0.25">
      <c r="A37" s="6" t="s">
        <v>362</v>
      </c>
      <c r="B37" s="6" t="s">
        <v>394</v>
      </c>
      <c r="C37" s="16">
        <f>_xll.BDH("ALNY US Equity","CF_CASH_FROM_INV_ACT","FQ1 2019","FQ1 2019","Currency=USD","Period=FQ","BEST_FPERIOD_OVERRIDE=FQ","FILING_STATUS=MR","SCALING_FORMAT=MLN","Sort=A","Dates=H","DateFormat=P","Fill=—","Direction=H","UseDPDF=Y")</f>
        <v>102.652</v>
      </c>
      <c r="D37" s="16">
        <f>_xll.BDH("ALNY US Equity","CF_CASH_FROM_INV_ACT","FQ2 2019","FQ2 2019","Currency=USD","Period=FQ","BEST_FPERIOD_OVERRIDE=FQ","FILING_STATUS=MR","SCALING_FORMAT=MLN","Sort=A","Dates=H","DateFormat=P","Fill=—","Direction=H","UseDPDF=Y")</f>
        <v>-289.40199999999999</v>
      </c>
      <c r="E37" s="16">
        <f>_xll.BDH("ALNY US Equity","CF_CASH_FROM_INV_ACT","FQ3 2019","FQ3 2019","Currency=USD","Period=FQ","BEST_FPERIOD_OVERRIDE=FQ","FILING_STATUS=MR","SCALING_FORMAT=MLN","Sort=A","Dates=H","DateFormat=P","Fill=—","Direction=H","UseDPDF=Y")</f>
        <v>-10.077</v>
      </c>
      <c r="F37" s="16">
        <f>_xll.BDH("ALNY US Equity","CF_CASH_FROM_INV_ACT","FQ4 2019","FQ4 2019","Currency=USD","Period=FQ","BEST_FPERIOD_OVERRIDE=FQ","FILING_STATUS=MR","SCALING_FORMAT=MLN","Sort=A","Dates=H","DateFormat=P","Fill=—","Direction=H","UseDPDF=Y")</f>
        <v>-220.85</v>
      </c>
      <c r="G37" s="16">
        <f>_xll.BDH("ALNY US Equity","CF_CASH_FROM_INV_ACT","FQ1 2020","FQ1 2020","Currency=USD","Period=FQ","BEST_FPERIOD_OVERRIDE=FQ","FILING_STATUS=MR","SCALING_FORMAT=MLN","Sort=A","Dates=H","DateFormat=P","Fill=—","Direction=H","UseDPDF=Y")</f>
        <v>113.688</v>
      </c>
      <c r="H37" s="16">
        <f>_xll.BDH("ALNY US Equity","CF_CASH_FROM_INV_ACT","FQ2 2020","FQ2 2020","Currency=USD","Period=FQ","BEST_FPERIOD_OVERRIDE=FQ","FILING_STATUS=MR","SCALING_FORMAT=MLN","Sort=A","Dates=H","DateFormat=P","Fill=—","Direction=H","UseDPDF=Y")</f>
        <v>-441.23</v>
      </c>
      <c r="I37" s="16">
        <f>_xll.BDH("ALNY US Equity","CF_CASH_FROM_INV_ACT","FQ3 2020","FQ3 2020","Currency=USD","Period=FQ","BEST_FPERIOD_OVERRIDE=FQ","FILING_STATUS=MR","SCALING_FORMAT=MLN","Sort=A","Dates=H","DateFormat=P","Fill=—","Direction=H","UseDPDF=Y")</f>
        <v>-10.087999999999999</v>
      </c>
      <c r="J37" s="16">
        <f>_xll.BDH("ALNY US Equity","CF_CASH_FROM_INV_ACT","FQ4 2020","FQ4 2020","Currency=USD","Period=FQ","BEST_FPERIOD_OVERRIDE=FQ","FILING_STATUS=MR","SCALING_FORMAT=MLN","Sort=A","Dates=H","DateFormat=P","Fill=—","Direction=H","UseDPDF=Y")</f>
        <v>-97.888000000000005</v>
      </c>
      <c r="K37" s="16">
        <f>_xll.BDH("ALNY US Equity","CF_CASH_FROM_INV_ACT","FQ1 2021","FQ1 2021","Currency=USD","Period=FQ","BEST_FPERIOD_OVERRIDE=FQ","FILING_STATUS=MR","SCALING_FORMAT=MLN","Sort=A","Dates=H","DateFormat=P","Fill=—","Direction=H","UseDPDF=Y")</f>
        <v>71.352000000000004</v>
      </c>
      <c r="L37" s="16">
        <f>_xll.BDH("ALNY US Equity","CF_CASH_FROM_INV_ACT","FQ2 2021","FQ2 2021","Currency=USD","Period=FQ","BEST_FPERIOD_OVERRIDE=FQ","FILING_STATUS=MR","SCALING_FORMAT=MLN","Sort=A","Dates=H","DateFormat=P","Fill=—","Direction=H","UseDPDF=Y")</f>
        <v>157.024</v>
      </c>
      <c r="M37" s="16">
        <f>_xll.BDH("ALNY US Equity","CF_CASH_FROM_INV_ACT","FQ3 2021","FQ3 2021","Currency=USD","Period=FQ","BEST_FPERIOD_OVERRIDE=FQ","FILING_STATUS=MR","SCALING_FORMAT=MLN","Sort=A","Dates=H","DateFormat=P","Fill=—","Direction=H","UseDPDF=Y")</f>
        <v>-88.271000000000001</v>
      </c>
      <c r="N37" s="16">
        <f>_xll.BDH("ALNY US Equity","CF_CASH_FROM_INV_ACT","FQ4 2021","FQ4 2021","Currency=USD","Period=FQ","BEST_FPERIOD_OVERRIDE=FQ","FILING_STATUS=MR","SCALING_FORMAT=MLN","Sort=A","Dates=H","DateFormat=P","Fill=—","Direction=H","UseDPDF=Y")</f>
        <v>-413.40499999999997</v>
      </c>
      <c r="O37" s="16">
        <f>_xll.BDH("ALNY US Equity","CF_CASH_FROM_INV_ACT","FQ1 2022","FQ1 2022","Currency=USD","Period=FQ","BEST_FPERIOD_OVERRIDE=FQ","FILING_STATUS=MR","SCALING_FORMAT=MLN","Sort=A","Dates=H","DateFormat=P","Fill=—","Direction=H","UseDPDF=Y")</f>
        <v>-147.41900000000001</v>
      </c>
      <c r="P37" s="16">
        <f>_xll.BDH("ALNY US Equity","CF_CASH_FROM_INV_ACT","FQ2 2022","FQ2 2022","Currency=USD","Period=FQ","BEST_FPERIOD_OVERRIDE=FQ","FILING_STATUS=MR","SCALING_FORMAT=MLN","Sort=A","Dates=H","DateFormat=P","Fill=—","Direction=H","UseDPDF=Y")</f>
        <v>142.79300000000001</v>
      </c>
      <c r="Q37" s="16">
        <f>_xll.BDH("ALNY US Equity","CF_CASH_FROM_INV_ACT","FQ3 2022","FQ3 2022","Currency=USD","Period=FQ","BEST_FPERIOD_OVERRIDE=FQ","FILING_STATUS=MR","SCALING_FORMAT=MLN","Sort=A","Dates=H","DateFormat=P","Fill=—","Direction=H","UseDPDF=Y")</f>
        <v>313.89100000000002</v>
      </c>
      <c r="R37" s="16">
        <f>_xll.BDH("ALNY US Equity","CF_CASH_FROM_INV_ACT","FQ4 2022","FQ4 2022","Currency=USD","Period=FQ","BEST_FPERIOD_OVERRIDE=FQ","FILING_STATUS=MR","SCALING_FORMAT=MLN","Sort=A","Dates=H","DateFormat=P","Fill=—","Direction=H","UseDPDF=Y")</f>
        <v>-139.911</v>
      </c>
      <c r="S37" s="16">
        <f>_xll.BDH("ALNY US Equity","CF_CASH_FROM_INV_ACT","FQ1 2023","FQ1 2023","Currency=USD","Period=FQ","BEST_FPERIOD_OVERRIDE=FQ","FILING_STATUS=MR","SCALING_FORMAT=MLN","Sort=A","Dates=H","DateFormat=P","Fill=—","Direction=H","UseDPDF=Y")</f>
        <v>-76.216999999999999</v>
      </c>
      <c r="T37" s="16">
        <f>_xll.BDH("ALNY US Equity","CF_CASH_FROM_INV_ACT","FQ2 2023","FQ2 2023","Currency=USD","Period=FQ","BEST_FPERIOD_OVERRIDE=FQ","FILING_STATUS=MR","SCALING_FORMAT=MLN","Sort=A","Dates=H","DateFormat=P","Fill=—","Direction=H","UseDPDF=Y")</f>
        <v>-8.7129999999999992</v>
      </c>
      <c r="U37" s="16">
        <f>_xll.BDH("ALNY US Equity","CF_CASH_FROM_INV_ACT","FQ3 2023","FQ3 2023","Currency=USD","Period=FQ","BEST_FPERIOD_OVERRIDE=FQ","FILING_STATUS=MR","SCALING_FORMAT=MLN","Sort=A","Dates=H","DateFormat=P","Fill=—","Direction=H","UseDPDF=Y")</f>
        <v>-10.763999999999999</v>
      </c>
      <c r="V37" s="16">
        <f>_xll.BDH("ALNY US Equity","CF_CASH_FROM_INV_ACT","FQ4 2023","FQ4 2023","Currency=USD","Period=FQ","BEST_FPERIOD_OVERRIDE=FQ","FILING_STATUS=MR","SCALING_FORMAT=MLN","Sort=A","Dates=H","DateFormat=P","Fill=—","Direction=H","UseDPDF=Y")</f>
        <v>-240.65600000000001</v>
      </c>
      <c r="W37" s="16">
        <f>_xll.BDH("ALNY US Equity","CF_CASH_FROM_INV_ACT","FQ1 2024","FQ1 2024","Currency=USD","Period=FQ","BEST_FPERIOD_OVERRIDE=FQ","FILING_STATUS=MR","SCALING_FORMAT=MLN","Sort=A","Dates=H","DateFormat=P","Fill=—","Direction=H","UseDPDF=Y")</f>
        <v>-67.62</v>
      </c>
      <c r="X37" s="16">
        <f>_xll.BDH("ALNY US Equity","CF_CASH_FROM_INV_ACT","FQ2 2024","FQ2 2024","Currency=USD","Period=FQ","BEST_FPERIOD_OVERRIDE=FQ","FILING_STATUS=MR","SCALING_FORMAT=MLN","Sort=A","Dates=H","DateFormat=P","Fill=—","Direction=H","UseDPDF=Y")</f>
        <v>33.94</v>
      </c>
      <c r="Y37" s="16">
        <f>_xll.BDH("ALNY US Equity","CF_CASH_FROM_INV_ACT","FQ3 2024","FQ3 2024","Currency=USD","Period=FQ","BEST_FPERIOD_OVERRIDE=FQ","FILING_STATUS=MR","SCALING_FORMAT=MLN","Sort=A","Dates=H","DateFormat=P","Fill=—","Direction=H","UseDPDF=Y")</f>
        <v>-30.25</v>
      </c>
      <c r="Z37" s="16">
        <f>_xll.BDH("ALNY US Equity","CF_CASH_FROM_INV_ACT","FQ4 2024","FQ4 2024","Currency=USD","Period=FQ","BEST_FPERIOD_OVERRIDE=FQ","FILING_STATUS=MR","SCALING_FORMAT=MLN","Sort=A","Dates=H","DateFormat=P","Fill=—","Direction=H","UseDPDF=Y")</f>
        <v>-52.91</v>
      </c>
    </row>
    <row r="38" spans="1:26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6" t="s">
        <v>395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0" t="s">
        <v>396</v>
      </c>
      <c r="B40" s="10" t="s">
        <v>397</v>
      </c>
      <c r="C40" s="13">
        <f>_xll.BDH("ALNY US Equity","CF_DVD_PAID","FQ1 2019","FQ1 2019","Currency=USD","Period=FQ","BEST_FPERIOD_OVERRIDE=FQ","FILING_STATUS=MR","SCALING_FORMAT=MLN","Sort=A","Dates=H","DateFormat=P","Fill=—","Direction=H","UseDPDF=Y")</f>
        <v>0</v>
      </c>
      <c r="D40" s="13">
        <f>_xll.BDH("ALNY US Equity","CF_DVD_PAID","FQ2 2019","FQ2 2019","Currency=USD","Period=FQ","BEST_FPERIOD_OVERRIDE=FQ","FILING_STATUS=MR","SCALING_FORMAT=MLN","Sort=A","Dates=H","DateFormat=P","Fill=—","Direction=H","UseDPDF=Y")</f>
        <v>0</v>
      </c>
      <c r="E40" s="13">
        <f>_xll.BDH("ALNY US Equity","CF_DVD_PAID","FQ3 2019","FQ3 2019","Currency=USD","Period=FQ","BEST_FPERIOD_OVERRIDE=FQ","FILING_STATUS=MR","SCALING_FORMAT=MLN","Sort=A","Dates=H","DateFormat=P","Fill=—","Direction=H","UseDPDF=Y")</f>
        <v>0</v>
      </c>
      <c r="F40" s="13">
        <f>_xll.BDH("ALNY US Equity","CF_DVD_PAID","FQ4 2019","FQ4 2019","Currency=USD","Period=FQ","BEST_FPERIOD_OVERRIDE=FQ","FILING_STATUS=MR","SCALING_FORMAT=MLN","Sort=A","Dates=H","DateFormat=P","Fill=—","Direction=H","UseDPDF=Y")</f>
        <v>0</v>
      </c>
      <c r="G40" s="13">
        <f>_xll.BDH("ALNY US Equity","CF_DVD_PAID","FQ1 2020","FQ1 2020","Currency=USD","Period=FQ","BEST_FPERIOD_OVERRIDE=FQ","FILING_STATUS=MR","SCALING_FORMAT=MLN","Sort=A","Dates=H","DateFormat=P","Fill=—","Direction=H","UseDPDF=Y")</f>
        <v>0</v>
      </c>
      <c r="H40" s="13">
        <f>_xll.BDH("ALNY US Equity","CF_DVD_PAID","FQ2 2020","FQ2 2020","Currency=USD","Period=FQ","BEST_FPERIOD_OVERRIDE=FQ","FILING_STATUS=MR","SCALING_FORMAT=MLN","Sort=A","Dates=H","DateFormat=P","Fill=—","Direction=H","UseDPDF=Y")</f>
        <v>0</v>
      </c>
      <c r="I40" s="13">
        <f>_xll.BDH("ALNY US Equity","CF_DVD_PAID","FQ3 2020","FQ3 2020","Currency=USD","Period=FQ","BEST_FPERIOD_OVERRIDE=FQ","FILING_STATUS=MR","SCALING_FORMAT=MLN","Sort=A","Dates=H","DateFormat=P","Fill=—","Direction=H","UseDPDF=Y")</f>
        <v>0</v>
      </c>
      <c r="J40" s="13">
        <f>_xll.BDH("ALNY US Equity","CF_DVD_PAID","FQ4 2020","FQ4 2020","Currency=USD","Period=FQ","BEST_FPERIOD_OVERRIDE=FQ","FILING_STATUS=MR","SCALING_FORMAT=MLN","Sort=A","Dates=H","DateFormat=P","Fill=—","Direction=H","UseDPDF=Y")</f>
        <v>0</v>
      </c>
      <c r="K40" s="13">
        <f>_xll.BDH("ALNY US Equity","CF_DVD_PAID","FQ1 2021","FQ1 2021","Currency=USD","Period=FQ","BEST_FPERIOD_OVERRIDE=FQ","FILING_STATUS=MR","SCALING_FORMAT=MLN","Sort=A","Dates=H","DateFormat=P","Fill=—","Direction=H","UseDPDF=Y")</f>
        <v>0</v>
      </c>
      <c r="L40" s="13">
        <f>_xll.BDH("ALNY US Equity","CF_DVD_PAID","FQ2 2021","FQ2 2021","Currency=USD","Period=FQ","BEST_FPERIOD_OVERRIDE=FQ","FILING_STATUS=MR","SCALING_FORMAT=MLN","Sort=A","Dates=H","DateFormat=P","Fill=—","Direction=H","UseDPDF=Y")</f>
        <v>0</v>
      </c>
      <c r="M40" s="13">
        <f>_xll.BDH("ALNY US Equity","CF_DVD_PAID","FQ3 2021","FQ3 2021","Currency=USD","Period=FQ","BEST_FPERIOD_OVERRIDE=FQ","FILING_STATUS=MR","SCALING_FORMAT=MLN","Sort=A","Dates=H","DateFormat=P","Fill=—","Direction=H","UseDPDF=Y")</f>
        <v>0</v>
      </c>
      <c r="N40" s="13">
        <f>_xll.BDH("ALNY US Equity","CF_DVD_PAID","FQ4 2021","FQ4 2021","Currency=USD","Period=FQ","BEST_FPERIOD_OVERRIDE=FQ","FILING_STATUS=MR","SCALING_FORMAT=MLN","Sort=A","Dates=H","DateFormat=P","Fill=—","Direction=H","UseDPDF=Y")</f>
        <v>0</v>
      </c>
      <c r="O40" s="13">
        <f>_xll.BDH("ALNY US Equity","CF_DVD_PAID","FQ1 2022","FQ1 2022","Currency=USD","Period=FQ","BEST_FPERIOD_OVERRIDE=FQ","FILING_STATUS=MR","SCALING_FORMAT=MLN","Sort=A","Dates=H","DateFormat=P","Fill=—","Direction=H","UseDPDF=Y")</f>
        <v>0</v>
      </c>
      <c r="P40" s="13">
        <f>_xll.BDH("ALNY US Equity","CF_DVD_PAID","FQ2 2022","FQ2 2022","Currency=USD","Period=FQ","BEST_FPERIOD_OVERRIDE=FQ","FILING_STATUS=MR","SCALING_FORMAT=MLN","Sort=A","Dates=H","DateFormat=P","Fill=—","Direction=H","UseDPDF=Y")</f>
        <v>0</v>
      </c>
      <c r="Q40" s="13">
        <f>_xll.BDH("ALNY US Equity","CF_DVD_PAID","FQ3 2022","FQ3 2022","Currency=USD","Period=FQ","BEST_FPERIOD_OVERRIDE=FQ","FILING_STATUS=MR","SCALING_FORMAT=MLN","Sort=A","Dates=H","DateFormat=P","Fill=—","Direction=H","UseDPDF=Y")</f>
        <v>0</v>
      </c>
      <c r="R40" s="13">
        <f>_xll.BDH("ALNY US Equity","CF_DVD_PAID","FQ4 2022","FQ4 2022","Currency=USD","Period=FQ","BEST_FPERIOD_OVERRIDE=FQ","FILING_STATUS=MR","SCALING_FORMAT=MLN","Sort=A","Dates=H","DateFormat=P","Fill=—","Direction=H","UseDPDF=Y")</f>
        <v>0</v>
      </c>
      <c r="S40" s="13">
        <f>_xll.BDH("ALNY US Equity","CF_DVD_PAID","FQ1 2023","FQ1 2023","Currency=USD","Period=FQ","BEST_FPERIOD_OVERRIDE=FQ","FILING_STATUS=MR","SCALING_FORMAT=MLN","Sort=A","Dates=H","DateFormat=P","Fill=—","Direction=H","UseDPDF=Y")</f>
        <v>0</v>
      </c>
      <c r="T40" s="13">
        <f>_xll.BDH("ALNY US Equity","CF_DVD_PAID","FQ2 2023","FQ2 2023","Currency=USD","Period=FQ","BEST_FPERIOD_OVERRIDE=FQ","FILING_STATUS=MR","SCALING_FORMAT=MLN","Sort=A","Dates=H","DateFormat=P","Fill=—","Direction=H","UseDPDF=Y")</f>
        <v>0</v>
      </c>
      <c r="U40" s="13">
        <f>_xll.BDH("ALNY US Equity","CF_DVD_PAID","FQ3 2023","FQ3 2023","Currency=USD","Period=FQ","BEST_FPERIOD_OVERRIDE=FQ","FILING_STATUS=MR","SCALING_FORMAT=MLN","Sort=A","Dates=H","DateFormat=P","Fill=—","Direction=H","UseDPDF=Y")</f>
        <v>0</v>
      </c>
      <c r="V40" s="13">
        <f>_xll.BDH("ALNY US Equity","CF_DVD_PAID","FQ4 2023","FQ4 2023","Currency=USD","Period=FQ","BEST_FPERIOD_OVERRIDE=FQ","FILING_STATUS=MR","SCALING_FORMAT=MLN","Sort=A","Dates=H","DateFormat=P","Fill=—","Direction=H","UseDPDF=Y")</f>
        <v>0</v>
      </c>
      <c r="W40" s="13">
        <f>_xll.BDH("ALNY US Equity","CF_DVD_PAID","FQ1 2024","FQ1 2024","Currency=USD","Period=FQ","BEST_FPERIOD_OVERRIDE=FQ","FILING_STATUS=MR","SCALING_FORMAT=MLN","Sort=A","Dates=H","DateFormat=P","Fill=—","Direction=H","UseDPDF=Y")</f>
        <v>0</v>
      </c>
      <c r="X40" s="13">
        <f>_xll.BDH("ALNY US Equity","CF_DVD_PAID","FQ2 2024","FQ2 2024","Currency=USD","Period=FQ","BEST_FPERIOD_OVERRIDE=FQ","FILING_STATUS=MR","SCALING_FORMAT=MLN","Sort=A","Dates=H","DateFormat=P","Fill=—","Direction=H","UseDPDF=Y")</f>
        <v>0</v>
      </c>
      <c r="Y40" s="13">
        <f>_xll.BDH("ALNY US Equity","CF_DVD_PAID","FQ3 2024","FQ3 2024","Currency=USD","Period=FQ","BEST_FPERIOD_OVERRIDE=FQ","FILING_STATUS=MR","SCALING_FORMAT=MLN","Sort=A","Dates=H","DateFormat=P","Fill=—","Direction=H","UseDPDF=Y")</f>
        <v>0</v>
      </c>
      <c r="Z40" s="13">
        <f>_xll.BDH("ALNY US Equity","CF_DVD_PAID","FQ4 2024","FQ4 2024","Currency=USD","Period=FQ","BEST_FPERIOD_OVERRIDE=FQ","FILING_STATUS=MR","SCALING_FORMAT=MLN","Sort=A","Dates=H","DateFormat=P","Fill=—","Direction=H","UseDPDF=Y")</f>
        <v>0</v>
      </c>
    </row>
    <row r="41" spans="1:26" x14ac:dyDescent="0.25">
      <c r="A41" s="10" t="s">
        <v>398</v>
      </c>
      <c r="B41" s="10" t="s">
        <v>399</v>
      </c>
      <c r="C41" s="13">
        <f>_xll.BDH("ALNY US Equity","PROC_FR_REPAYMNTS_BOR_DETAILED","FQ1 2019","FQ1 2019","Currency=USD","Period=FQ","BEST_FPERIOD_OVERRIDE=FQ","FILING_STATUS=MR","SCALING_FORMAT=MLN","Sort=A","Dates=H","DateFormat=P","Fill=—","Direction=H","UseDPDF=Y")</f>
        <v>0</v>
      </c>
      <c r="D41" s="13">
        <f>_xll.BDH("ALNY US Equity","PROC_FR_REPAYMNTS_BOR_DETAILED","FQ2 2019","FQ2 2019","Currency=USD","Period=FQ","BEST_FPERIOD_OVERRIDE=FQ","FILING_STATUS=MR","SCALING_FORMAT=MLN","Sort=A","Dates=H","DateFormat=P","Fill=—","Direction=H","UseDPDF=Y")</f>
        <v>0</v>
      </c>
      <c r="E41" s="13">
        <f>_xll.BDH("ALNY US Equity","PROC_FR_REPAYMNTS_BOR_DETAILED","FQ3 2019","FQ3 2019","Currency=USD","Period=FQ","BEST_FPERIOD_OVERRIDE=FQ","FILING_STATUS=MR","SCALING_FORMAT=MLN","Sort=A","Dates=H","DateFormat=P","Fill=—","Direction=H","UseDPDF=Y")</f>
        <v>-30</v>
      </c>
      <c r="F41" s="13">
        <f>_xll.BDH("ALNY US Equity","PROC_FR_REPAYMNTS_BOR_DETAILED","FQ4 2019","FQ4 2019","Currency=USD","Period=FQ","BEST_FPERIOD_OVERRIDE=FQ","FILING_STATUS=MR","SCALING_FORMAT=MLN","Sort=A","Dates=H","DateFormat=P","Fill=—","Direction=H","UseDPDF=Y")</f>
        <v>0</v>
      </c>
      <c r="G41" s="13">
        <f>_xll.BDH("ALNY US Equity","PROC_FR_REPAYMNTS_BOR_DETAILED","FQ1 2020","FQ1 2020","Currency=USD","Period=FQ","BEST_FPERIOD_OVERRIDE=FQ","FILING_STATUS=MR","SCALING_FORMAT=MLN","Sort=A","Dates=H","DateFormat=P","Fill=—","Direction=H","UseDPDF=Y")</f>
        <v>0</v>
      </c>
      <c r="H41" s="13">
        <f>_xll.BDH("ALNY US Equity","PROC_FR_REPAYMNTS_BOR_DETAILED","FQ2 2020","FQ2 2020","Currency=USD","Period=FQ","BEST_FPERIOD_OVERRIDE=FQ","FILING_STATUS=MR","SCALING_FORMAT=MLN","Sort=A","Dates=H","DateFormat=P","Fill=—","Direction=H","UseDPDF=Y")</f>
        <v>-8.1280000000000001</v>
      </c>
      <c r="I41" s="13">
        <f>_xll.BDH("ALNY US Equity","PROC_FR_REPAYMNTS_BOR_DETAILED","FQ3 2020","FQ3 2020","Currency=USD","Period=FQ","BEST_FPERIOD_OVERRIDE=FQ","FILING_STATUS=MR","SCALING_FORMAT=MLN","Sort=A","Dates=H","DateFormat=P","Fill=—","Direction=H","UseDPDF=Y")</f>
        <v>0</v>
      </c>
      <c r="J41" s="13">
        <f>_xll.BDH("ALNY US Equity","PROC_FR_REPAYMNTS_BOR_DETAILED","FQ4 2020","FQ4 2020","Currency=USD","Period=FQ","BEST_FPERIOD_OVERRIDE=FQ","FILING_STATUS=MR","SCALING_FORMAT=MLN","Sort=A","Dates=H","DateFormat=P","Fill=—","Direction=H","UseDPDF=Y")</f>
        <v>194.72499999999999</v>
      </c>
      <c r="K41" s="13">
        <f>_xll.BDH("ALNY US Equity","PROC_FR_REPAYMNTS_BOR_DETAILED","FQ1 2021","FQ1 2021","Currency=USD","Period=FQ","BEST_FPERIOD_OVERRIDE=FQ","FILING_STATUS=MR","SCALING_FORMAT=MLN","Sort=A","Dates=H","DateFormat=P","Fill=—","Direction=H","UseDPDF=Y")</f>
        <v>0</v>
      </c>
      <c r="L41" s="13">
        <f>_xll.BDH("ALNY US Equity","PROC_FR_REPAYMNTS_BOR_DETAILED","FQ2 2021","FQ2 2021","Currency=USD","Period=FQ","BEST_FPERIOD_OVERRIDE=FQ","FILING_STATUS=MR","SCALING_FORMAT=MLN","Sort=A","Dates=H","DateFormat=P","Fill=—","Direction=H","UseDPDF=Y")</f>
        <v>243.75</v>
      </c>
      <c r="M41" s="13">
        <f>_xll.BDH("ALNY US Equity","PROC_FR_REPAYMNTS_BOR_DETAILED","FQ3 2021","FQ3 2021","Currency=USD","Period=FQ","BEST_FPERIOD_OVERRIDE=FQ","FILING_STATUS=MR","SCALING_FORMAT=MLN","Sort=A","Dates=H","DateFormat=P","Fill=—","Direction=H","UseDPDF=Y")</f>
        <v>-6.25</v>
      </c>
      <c r="N41" s="13">
        <f>_xll.BDH("ALNY US Equity","PROC_FR_REPAYMNTS_BOR_DETAILED","FQ4 2021","FQ4 2021","Currency=USD","Period=FQ","BEST_FPERIOD_OVERRIDE=FQ","FILING_STATUS=MR","SCALING_FORMAT=MLN","Sort=A","Dates=H","DateFormat=P","Fill=—","Direction=H","UseDPDF=Y")</f>
        <v>243.75</v>
      </c>
      <c r="O41" s="13">
        <f>_xll.BDH("ALNY US Equity","PROC_FR_REPAYMNTS_BOR_DETAILED","FQ1 2022","FQ1 2022","Currency=USD","Period=FQ","BEST_FPERIOD_OVERRIDE=FQ","FILING_STATUS=MR","SCALING_FORMAT=MLN","Sort=A","Dates=H","DateFormat=P","Fill=—","Direction=H","UseDPDF=Y")</f>
        <v>0</v>
      </c>
      <c r="P41" s="13">
        <f>_xll.BDH("ALNY US Equity","PROC_FR_REPAYMNTS_BOR_DETAILED","FQ2 2022","FQ2 2022","Currency=USD","Period=FQ","BEST_FPERIOD_OVERRIDE=FQ","FILING_STATUS=MR","SCALING_FORMAT=MLN","Sort=A","Dates=H","DateFormat=P","Fill=—","Direction=H","UseDPDF=Y")</f>
        <v>0</v>
      </c>
      <c r="Q41" s="13">
        <f>_xll.BDH("ALNY US Equity","PROC_FR_REPAYMNTS_BOR_DETAILED","FQ3 2022","FQ3 2022","Currency=USD","Period=FQ","BEST_FPERIOD_OVERRIDE=FQ","FILING_STATUS=MR","SCALING_FORMAT=MLN","Sort=A","Dates=H","DateFormat=P","Fill=—","Direction=H","UseDPDF=Y")</f>
        <v>136.16999999999999</v>
      </c>
      <c r="R41" s="13">
        <f>_xll.BDH("ALNY US Equity","PROC_FR_REPAYMNTS_BOR_DETAILED","FQ4 2022","FQ4 2022","Currency=USD","Period=FQ","BEST_FPERIOD_OVERRIDE=FQ","FILING_STATUS=MR","SCALING_FORMAT=MLN","Sort=A","Dates=H","DateFormat=P","Fill=—","Direction=H","UseDPDF=Y")</f>
        <v>117.834</v>
      </c>
      <c r="S41" s="13">
        <f>_xll.BDH("ALNY US Equity","PROC_FR_REPAYMNTS_BOR_DETAILED","FQ1 2023","FQ1 2023","Currency=USD","Period=FQ","BEST_FPERIOD_OVERRIDE=FQ","FILING_STATUS=MR","SCALING_FORMAT=MLN","Sort=A","Dates=H","DateFormat=P","Fill=—","Direction=H","UseDPDF=Y")</f>
        <v>0</v>
      </c>
      <c r="T41" s="13">
        <f>_xll.BDH("ALNY US Equity","PROC_FR_REPAYMNTS_BOR_DETAILED","FQ2 2023","FQ2 2023","Currency=USD","Period=FQ","BEST_FPERIOD_OVERRIDE=FQ","FILING_STATUS=MR","SCALING_FORMAT=MLN","Sort=A","Dates=H","DateFormat=P","Fill=—","Direction=H","UseDPDF=Y")</f>
        <v>0</v>
      </c>
      <c r="U41" s="13">
        <f>_xll.BDH("ALNY US Equity","PROC_FR_REPAYMNTS_BOR_DETAILED","FQ3 2023","FQ3 2023","Currency=USD","Period=FQ","BEST_FPERIOD_OVERRIDE=FQ","FILING_STATUS=MR","SCALING_FORMAT=MLN","Sort=A","Dates=H","DateFormat=P","Fill=—","Direction=H","UseDPDF=Y")</f>
        <v>0</v>
      </c>
      <c r="V41" s="13">
        <f>_xll.BDH("ALNY US Equity","PROC_FR_REPAYMNTS_BOR_DETAILED","FQ4 2023","FQ4 2023","Currency=USD","Period=FQ","BEST_FPERIOD_OVERRIDE=FQ","FILING_STATUS=MR","SCALING_FORMAT=MLN","Sort=A","Dates=H","DateFormat=P","Fill=—","Direction=H","UseDPDF=Y")</f>
        <v>0</v>
      </c>
      <c r="W41" s="13">
        <f>_xll.BDH("ALNY US Equity","PROC_FR_REPAYMNTS_BOR_DETAILED","FQ1 2024","FQ1 2024","Currency=USD","Period=FQ","BEST_FPERIOD_OVERRIDE=FQ","FILING_STATUS=MR","SCALING_FORMAT=MLN","Sort=A","Dates=H","DateFormat=P","Fill=—","Direction=H","UseDPDF=Y")</f>
        <v>0</v>
      </c>
      <c r="X41" s="13">
        <f>_xll.BDH("ALNY US Equity","PROC_FR_REPAYMNTS_BOR_DETAILED","FQ2 2024","FQ2 2024","Currency=USD","Period=FQ","BEST_FPERIOD_OVERRIDE=FQ","FILING_STATUS=MR","SCALING_FORMAT=MLN","Sort=A","Dates=H","DateFormat=P","Fill=—","Direction=H","UseDPDF=Y")</f>
        <v>0</v>
      </c>
      <c r="Y41" s="13">
        <f>_xll.BDH("ALNY US Equity","PROC_FR_REPAYMNTS_BOR_DETAILED","FQ3 2024","FQ3 2024","Currency=USD","Period=FQ","BEST_FPERIOD_OVERRIDE=FQ","FILING_STATUS=MR","SCALING_FORMAT=MLN","Sort=A","Dates=H","DateFormat=P","Fill=—","Direction=H","UseDPDF=Y")</f>
        <v>0</v>
      </c>
      <c r="Z41" s="13">
        <f>_xll.BDH("ALNY US Equity","PROC_FR_REPAYMNTS_BOR_DETAILED","FQ4 2024","FQ4 2024","Currency=USD","Period=FQ","BEST_FPERIOD_OVERRIDE=FQ","FILING_STATUS=MR","SCALING_FORMAT=MLN","Sort=A","Dates=H","DateFormat=P","Fill=—","Direction=H","UseDPDF=Y")</f>
        <v>0</v>
      </c>
    </row>
    <row r="42" spans="1:26" x14ac:dyDescent="0.25">
      <c r="A42" s="10" t="s">
        <v>400</v>
      </c>
      <c r="B42" s="10" t="s">
        <v>401</v>
      </c>
      <c r="C42" s="13">
        <f>_xll.BDH("ALNY US Equity","CF_NET_CHG_ST_DEBT_CPTL_LEAS","FQ1 2019","FQ1 2019","Currency=USD","Period=FQ","BEST_FPERIOD_OVERRIDE=FQ","FILING_STATUS=MR","SCALING_FORMAT=MLN","Sort=A","Dates=H","DateFormat=P","Fill=—","Direction=H","UseDPDF=Y")</f>
        <v>0</v>
      </c>
      <c r="D42" s="13">
        <f>_xll.BDH("ALNY US Equity","CF_NET_CHG_ST_DEBT_CPTL_LEAS","FQ2 2019","FQ2 2019","Currency=USD","Period=FQ","BEST_FPERIOD_OVERRIDE=FQ","FILING_STATUS=MR","SCALING_FORMAT=MLN","Sort=A","Dates=H","DateFormat=P","Fill=—","Direction=H","UseDPDF=Y")</f>
        <v>0</v>
      </c>
      <c r="E42" s="13" t="str">
        <f>_xll.BDH("ALNY US Equity","CF_NET_CHG_ST_DEBT_CPTL_LEAS","FQ3 2019","FQ3 2019","Currency=USD","Period=FQ","BEST_FPERIOD_OVERRIDE=FQ","FILING_STATUS=MR","SCALING_FORMAT=MLN","Sort=A","Dates=H","DateFormat=P","Fill=—","Direction=H","UseDPDF=Y")</f>
        <v>—</v>
      </c>
      <c r="F42" s="13" t="str">
        <f>_xll.BDH("ALNY US Equity","CF_NET_CHG_ST_DEBT_CPTL_LEAS","FQ4 2019","FQ4 2019","Currency=USD","Period=FQ","BEST_FPERIOD_OVERRIDE=FQ","FILING_STATUS=MR","SCALING_FORMAT=MLN","Sort=A","Dates=H","DateFormat=P","Fill=—","Direction=H","UseDPDF=Y")</f>
        <v>—</v>
      </c>
      <c r="G42" s="13">
        <f>_xll.BDH("ALNY US Equity","CF_NET_CHG_ST_DEBT_CPTL_LEAS","FQ1 2020","FQ1 2020","Currency=USD","Period=FQ","BEST_FPERIOD_OVERRIDE=FQ","FILING_STATUS=MR","SCALING_FORMAT=MLN","Sort=A","Dates=H","DateFormat=P","Fill=—","Direction=H","UseDPDF=Y")</f>
        <v>0</v>
      </c>
      <c r="H42" s="13" t="str">
        <f>_xll.BDH("ALNY US Equity","CF_NET_CHG_ST_DEBT_CPTL_LEAS","FQ2 2020","FQ2 2020","Currency=USD","Period=FQ","BEST_FPERIOD_OVERRIDE=FQ","FILING_STATUS=MR","SCALING_FORMAT=MLN","Sort=A","Dates=H","DateFormat=P","Fill=—","Direction=H","UseDPDF=Y")</f>
        <v>—</v>
      </c>
      <c r="I42" s="13" t="str">
        <f>_xll.BDH("ALNY US Equity","CF_NET_CHG_ST_DEBT_CPTL_LEAS","FQ3 2020","FQ3 2020","Currency=USD","Period=FQ","BEST_FPERIOD_OVERRIDE=FQ","FILING_STATUS=MR","SCALING_FORMAT=MLN","Sort=A","Dates=H","DateFormat=P","Fill=—","Direction=H","UseDPDF=Y")</f>
        <v>—</v>
      </c>
      <c r="J42" s="13" t="str">
        <f>_xll.BDH("ALNY US Equity","CF_NET_CHG_ST_DEBT_CPTL_LEAS","FQ4 2020","FQ4 2020","Currency=USD","Period=FQ","BEST_FPERIOD_OVERRIDE=FQ","FILING_STATUS=MR","SCALING_FORMAT=MLN","Sort=A","Dates=H","DateFormat=P","Fill=—","Direction=H","UseDPDF=Y")</f>
        <v>—</v>
      </c>
      <c r="K42" s="13">
        <f>_xll.BDH("ALNY US Equity","CF_NET_CHG_ST_DEBT_CPTL_LEAS","FQ1 2021","FQ1 2021","Currency=USD","Period=FQ","BEST_FPERIOD_OVERRIDE=FQ","FILING_STATUS=MR","SCALING_FORMAT=MLN","Sort=A","Dates=H","DateFormat=P","Fill=—","Direction=H","UseDPDF=Y")</f>
        <v>0</v>
      </c>
      <c r="L42" s="13" t="str">
        <f>_xll.BDH("ALNY US Equity","CF_NET_CHG_ST_DEBT_CPTL_LEAS","FQ2 2021","FQ2 2021","Currency=USD","Period=FQ","BEST_FPERIOD_OVERRIDE=FQ","FILING_STATUS=MR","SCALING_FORMAT=MLN","Sort=A","Dates=H","DateFormat=P","Fill=—","Direction=H","UseDPDF=Y")</f>
        <v>—</v>
      </c>
      <c r="M42" s="13" t="str">
        <f>_xll.BDH("ALNY US Equity","CF_NET_CHG_ST_DEBT_CPTL_LEAS","FQ3 2021","FQ3 2021","Currency=USD","Period=FQ","BEST_FPERIOD_OVERRIDE=FQ","FILING_STATUS=MR","SCALING_FORMAT=MLN","Sort=A","Dates=H","DateFormat=P","Fill=—","Direction=H","UseDPDF=Y")</f>
        <v>—</v>
      </c>
      <c r="N42" s="13" t="str">
        <f>_xll.BDH("ALNY US Equity","CF_NET_CHG_ST_DEBT_CPTL_LEAS","FQ4 2021","FQ4 2021","Currency=USD","Period=FQ","BEST_FPERIOD_OVERRIDE=FQ","FILING_STATUS=MR","SCALING_FORMAT=MLN","Sort=A","Dates=H","DateFormat=P","Fill=—","Direction=H","UseDPDF=Y")</f>
        <v>—</v>
      </c>
      <c r="O42" s="13">
        <f>_xll.BDH("ALNY US Equity","CF_NET_CHG_ST_DEBT_CPTL_LEAS","FQ1 2022","FQ1 2022","Currency=USD","Period=FQ","BEST_FPERIOD_OVERRIDE=FQ","FILING_STATUS=MR","SCALING_FORMAT=MLN","Sort=A","Dates=H","DateFormat=P","Fill=—","Direction=H","UseDPDF=Y")</f>
        <v>0</v>
      </c>
      <c r="P42" s="13">
        <f>_xll.BDH("ALNY US Equity","CF_NET_CHG_ST_DEBT_CPTL_LEAS","FQ2 2022","FQ2 2022","Currency=USD","Period=FQ","BEST_FPERIOD_OVERRIDE=FQ","FILING_STATUS=MR","SCALING_FORMAT=MLN","Sort=A","Dates=H","DateFormat=P","Fill=—","Direction=H","UseDPDF=Y")</f>
        <v>0</v>
      </c>
      <c r="Q42" s="13" t="str">
        <f>_xll.BDH("ALNY US Equity","CF_NET_CHG_ST_DEBT_CPTL_LEAS","FQ3 2022","FQ3 2022","Currency=USD","Period=FQ","BEST_FPERIOD_OVERRIDE=FQ","FILING_STATUS=MR","SCALING_FORMAT=MLN","Sort=A","Dates=H","DateFormat=P","Fill=—","Direction=H","UseDPDF=Y")</f>
        <v>—</v>
      </c>
      <c r="R42" s="13" t="str">
        <f>_xll.BDH("ALNY US Equity","CF_NET_CHG_ST_DEBT_CPTL_LEAS","FQ4 2022","FQ4 2022","Currency=USD","Period=FQ","BEST_FPERIOD_OVERRIDE=FQ","FILING_STATUS=MR","SCALING_FORMAT=MLN","Sort=A","Dates=H","DateFormat=P","Fill=—","Direction=H","UseDPDF=Y")</f>
        <v>—</v>
      </c>
      <c r="S42" s="13">
        <f>_xll.BDH("ALNY US Equity","CF_NET_CHG_ST_DEBT_CPTL_LEAS","FQ1 2023","FQ1 2023","Currency=USD","Period=FQ","BEST_FPERIOD_OVERRIDE=FQ","FILING_STATUS=MR","SCALING_FORMAT=MLN","Sort=A","Dates=H","DateFormat=P","Fill=—","Direction=H","UseDPDF=Y")</f>
        <v>0</v>
      </c>
      <c r="T42" s="13">
        <f>_xll.BDH("ALNY US Equity","CF_NET_CHG_ST_DEBT_CPTL_LEAS","FQ2 2023","FQ2 2023","Currency=USD","Period=FQ","BEST_FPERIOD_OVERRIDE=FQ","FILING_STATUS=MR","SCALING_FORMAT=MLN","Sort=A","Dates=H","DateFormat=P","Fill=—","Direction=H","UseDPDF=Y")</f>
        <v>0</v>
      </c>
      <c r="U42" s="13">
        <f>_xll.BDH("ALNY US Equity","CF_NET_CHG_ST_DEBT_CPTL_LEAS","FQ3 2023","FQ3 2023","Currency=USD","Period=FQ","BEST_FPERIOD_OVERRIDE=FQ","FILING_STATUS=MR","SCALING_FORMAT=MLN","Sort=A","Dates=H","DateFormat=P","Fill=—","Direction=H","UseDPDF=Y")</f>
        <v>0</v>
      </c>
      <c r="V42" s="13">
        <f>_xll.BDH("ALNY US Equity","CF_NET_CHG_ST_DEBT_CPTL_LEAS","FQ4 2023","FQ4 2023","Currency=USD","Period=FQ","BEST_FPERIOD_OVERRIDE=FQ","FILING_STATUS=MR","SCALING_FORMAT=MLN","Sort=A","Dates=H","DateFormat=P","Fill=—","Direction=H","UseDPDF=Y")</f>
        <v>0</v>
      </c>
      <c r="W42" s="13">
        <f>_xll.BDH("ALNY US Equity","CF_NET_CHG_ST_DEBT_CPTL_LEAS","FQ1 2024","FQ1 2024","Currency=USD","Period=FQ","BEST_FPERIOD_OVERRIDE=FQ","FILING_STATUS=MR","SCALING_FORMAT=MLN","Sort=A","Dates=H","DateFormat=P","Fill=—","Direction=H","UseDPDF=Y")</f>
        <v>0</v>
      </c>
      <c r="X42" s="13">
        <f>_xll.BDH("ALNY US Equity","CF_NET_CHG_ST_DEBT_CPTL_LEAS","FQ2 2024","FQ2 2024","Currency=USD","Period=FQ","BEST_FPERIOD_OVERRIDE=FQ","FILING_STATUS=MR","SCALING_FORMAT=MLN","Sort=A","Dates=H","DateFormat=P","Fill=—","Direction=H","UseDPDF=Y")</f>
        <v>0</v>
      </c>
      <c r="Y42" s="13">
        <f>_xll.BDH("ALNY US Equity","CF_NET_CHG_ST_DEBT_CPTL_LEAS","FQ3 2024","FQ3 2024","Currency=USD","Period=FQ","BEST_FPERIOD_OVERRIDE=FQ","FILING_STATUS=MR","SCALING_FORMAT=MLN","Sort=A","Dates=H","DateFormat=P","Fill=—","Direction=H","UseDPDF=Y")</f>
        <v>0</v>
      </c>
      <c r="Z42" s="13">
        <f>_xll.BDH("ALNY US Equity","CF_NET_CHG_ST_DEBT_CPTL_LEAS","FQ4 2024","FQ4 2024","Currency=USD","Period=FQ","BEST_FPERIOD_OVERRIDE=FQ","FILING_STATUS=MR","SCALING_FORMAT=MLN","Sort=A","Dates=H","DateFormat=P","Fill=—","Direction=H","UseDPDF=Y")</f>
        <v>0</v>
      </c>
    </row>
    <row r="43" spans="1:26" x14ac:dyDescent="0.25">
      <c r="A43" s="10" t="s">
        <v>402</v>
      </c>
      <c r="B43" s="10" t="s">
        <v>403</v>
      </c>
      <c r="C43" s="13">
        <f>_xll.BDH("ALNY US Equity","CF_LT_DEBT_CAP_LEAS_PROCEEDS","FQ1 2019","FQ1 2019","Currency=USD","Period=FQ","BEST_FPERIOD_OVERRIDE=FQ","FILING_STATUS=MR","SCALING_FORMAT=MLN","Sort=A","Dates=H","DateFormat=P","Fill=—","Direction=H","UseDPDF=Y")</f>
        <v>0</v>
      </c>
      <c r="D43" s="13">
        <f>_xll.BDH("ALNY US Equity","CF_LT_DEBT_CAP_LEAS_PROCEEDS","FQ2 2019","FQ2 2019","Currency=USD","Period=FQ","BEST_FPERIOD_OVERRIDE=FQ","FILING_STATUS=MR","SCALING_FORMAT=MLN","Sort=A","Dates=H","DateFormat=P","Fill=—","Direction=H","UseDPDF=Y")</f>
        <v>0</v>
      </c>
      <c r="E43" s="13" t="str">
        <f>_xll.BDH("ALNY US Equity","CF_LT_DEBT_CAP_LEAS_PROCEEDS","FQ3 2019","FQ3 2019","Currency=USD","Period=FQ","BEST_FPERIOD_OVERRIDE=FQ","FILING_STATUS=MR","SCALING_FORMAT=MLN","Sort=A","Dates=H","DateFormat=P","Fill=—","Direction=H","UseDPDF=Y")</f>
        <v>—</v>
      </c>
      <c r="F43" s="13" t="str">
        <f>_xll.BDH("ALNY US Equity","CF_LT_DEBT_CAP_LEAS_PROCEEDS","FQ4 2019","FQ4 2019","Currency=USD","Period=FQ","BEST_FPERIOD_OVERRIDE=FQ","FILING_STATUS=MR","SCALING_FORMAT=MLN","Sort=A","Dates=H","DateFormat=P","Fill=—","Direction=H","UseDPDF=Y")</f>
        <v>—</v>
      </c>
      <c r="G43" s="13">
        <f>_xll.BDH("ALNY US Equity","CF_LT_DEBT_CAP_LEAS_PROCEEDS","FQ1 2020","FQ1 2020","Currency=USD","Period=FQ","BEST_FPERIOD_OVERRIDE=FQ","FILING_STATUS=MR","SCALING_FORMAT=MLN","Sort=A","Dates=H","DateFormat=P","Fill=—","Direction=H","UseDPDF=Y")</f>
        <v>0</v>
      </c>
      <c r="H43" s="13" t="str">
        <f>_xll.BDH("ALNY US Equity","CF_LT_DEBT_CAP_LEAS_PROCEEDS","FQ2 2020","FQ2 2020","Currency=USD","Period=FQ","BEST_FPERIOD_OVERRIDE=FQ","FILING_STATUS=MR","SCALING_FORMAT=MLN","Sort=A","Dates=H","DateFormat=P","Fill=—","Direction=H","UseDPDF=Y")</f>
        <v>—</v>
      </c>
      <c r="I43" s="13" t="str">
        <f>_xll.BDH("ALNY US Equity","CF_LT_DEBT_CAP_LEAS_PROCEEDS","FQ3 2020","FQ3 2020","Currency=USD","Period=FQ","BEST_FPERIOD_OVERRIDE=FQ","FILING_STATUS=MR","SCALING_FORMAT=MLN","Sort=A","Dates=H","DateFormat=P","Fill=—","Direction=H","UseDPDF=Y")</f>
        <v>—</v>
      </c>
      <c r="J43" s="13" t="str">
        <f>_xll.BDH("ALNY US Equity","CF_LT_DEBT_CAP_LEAS_PROCEEDS","FQ4 2020","FQ4 2020","Currency=USD","Period=FQ","BEST_FPERIOD_OVERRIDE=FQ","FILING_STATUS=MR","SCALING_FORMAT=MLN","Sort=A","Dates=H","DateFormat=P","Fill=—","Direction=H","UseDPDF=Y")</f>
        <v>—</v>
      </c>
      <c r="K43" s="13">
        <f>_xll.BDH("ALNY US Equity","CF_LT_DEBT_CAP_LEAS_PROCEEDS","FQ1 2021","FQ1 2021","Currency=USD","Period=FQ","BEST_FPERIOD_OVERRIDE=FQ","FILING_STATUS=MR","SCALING_FORMAT=MLN","Sort=A","Dates=H","DateFormat=P","Fill=—","Direction=H","UseDPDF=Y")</f>
        <v>0</v>
      </c>
      <c r="L43" s="13" t="str">
        <f>_xll.BDH("ALNY US Equity","CF_LT_DEBT_CAP_LEAS_PROCEEDS","FQ2 2021","FQ2 2021","Currency=USD","Period=FQ","BEST_FPERIOD_OVERRIDE=FQ","FILING_STATUS=MR","SCALING_FORMAT=MLN","Sort=A","Dates=H","DateFormat=P","Fill=—","Direction=H","UseDPDF=Y")</f>
        <v>—</v>
      </c>
      <c r="M43" s="13" t="str">
        <f>_xll.BDH("ALNY US Equity","CF_LT_DEBT_CAP_LEAS_PROCEEDS","FQ3 2021","FQ3 2021","Currency=USD","Period=FQ","BEST_FPERIOD_OVERRIDE=FQ","FILING_STATUS=MR","SCALING_FORMAT=MLN","Sort=A","Dates=H","DateFormat=P","Fill=—","Direction=H","UseDPDF=Y")</f>
        <v>—</v>
      </c>
      <c r="N43" s="13" t="str">
        <f>_xll.BDH("ALNY US Equity","CF_LT_DEBT_CAP_LEAS_PROCEEDS","FQ4 2021","FQ4 2021","Currency=USD","Period=FQ","BEST_FPERIOD_OVERRIDE=FQ","FILING_STATUS=MR","SCALING_FORMAT=MLN","Sort=A","Dates=H","DateFormat=P","Fill=—","Direction=H","UseDPDF=Y")</f>
        <v>—</v>
      </c>
      <c r="O43" s="13">
        <f>_xll.BDH("ALNY US Equity","CF_LT_DEBT_CAP_LEAS_PROCEEDS","FQ1 2022","FQ1 2022","Currency=USD","Period=FQ","BEST_FPERIOD_OVERRIDE=FQ","FILING_STATUS=MR","SCALING_FORMAT=MLN","Sort=A","Dates=H","DateFormat=P","Fill=—","Direction=H","UseDPDF=Y")</f>
        <v>0</v>
      </c>
      <c r="P43" s="13">
        <f>_xll.BDH("ALNY US Equity","CF_LT_DEBT_CAP_LEAS_PROCEEDS","FQ2 2022","FQ2 2022","Currency=USD","Period=FQ","BEST_FPERIOD_OVERRIDE=FQ","FILING_STATUS=MR","SCALING_FORMAT=MLN","Sort=A","Dates=H","DateFormat=P","Fill=—","Direction=H","UseDPDF=Y")</f>
        <v>0</v>
      </c>
      <c r="Q43" s="13" t="str">
        <f>_xll.BDH("ALNY US Equity","CF_LT_DEBT_CAP_LEAS_PROCEEDS","FQ3 2022","FQ3 2022","Currency=USD","Period=FQ","BEST_FPERIOD_OVERRIDE=FQ","FILING_STATUS=MR","SCALING_FORMAT=MLN","Sort=A","Dates=H","DateFormat=P","Fill=—","Direction=H","UseDPDF=Y")</f>
        <v>—</v>
      </c>
      <c r="R43" s="13" t="str">
        <f>_xll.BDH("ALNY US Equity","CF_LT_DEBT_CAP_LEAS_PROCEEDS","FQ4 2022","FQ4 2022","Currency=USD","Period=FQ","BEST_FPERIOD_OVERRIDE=FQ","FILING_STATUS=MR","SCALING_FORMAT=MLN","Sort=A","Dates=H","DateFormat=P","Fill=—","Direction=H","UseDPDF=Y")</f>
        <v>—</v>
      </c>
      <c r="S43" s="13">
        <f>_xll.BDH("ALNY US Equity","CF_LT_DEBT_CAP_LEAS_PROCEEDS","FQ1 2023","FQ1 2023","Currency=USD","Period=FQ","BEST_FPERIOD_OVERRIDE=FQ","FILING_STATUS=MR","SCALING_FORMAT=MLN","Sort=A","Dates=H","DateFormat=P","Fill=—","Direction=H","UseDPDF=Y")</f>
        <v>0</v>
      </c>
      <c r="T43" s="13">
        <f>_xll.BDH("ALNY US Equity","CF_LT_DEBT_CAP_LEAS_PROCEEDS","FQ2 2023","FQ2 2023","Currency=USD","Period=FQ","BEST_FPERIOD_OVERRIDE=FQ","FILING_STATUS=MR","SCALING_FORMAT=MLN","Sort=A","Dates=H","DateFormat=P","Fill=—","Direction=H","UseDPDF=Y")</f>
        <v>0</v>
      </c>
      <c r="U43" s="13">
        <f>_xll.BDH("ALNY US Equity","CF_LT_DEBT_CAP_LEAS_PROCEEDS","FQ3 2023","FQ3 2023","Currency=USD","Period=FQ","BEST_FPERIOD_OVERRIDE=FQ","FILING_STATUS=MR","SCALING_FORMAT=MLN","Sort=A","Dates=H","DateFormat=P","Fill=—","Direction=H","UseDPDF=Y")</f>
        <v>0</v>
      </c>
      <c r="V43" s="13">
        <f>_xll.BDH("ALNY US Equity","CF_LT_DEBT_CAP_LEAS_PROCEEDS","FQ4 2023","FQ4 2023","Currency=USD","Period=FQ","BEST_FPERIOD_OVERRIDE=FQ","FILING_STATUS=MR","SCALING_FORMAT=MLN","Sort=A","Dates=H","DateFormat=P","Fill=—","Direction=H","UseDPDF=Y")</f>
        <v>0</v>
      </c>
      <c r="W43" s="13">
        <f>_xll.BDH("ALNY US Equity","CF_LT_DEBT_CAP_LEAS_PROCEEDS","FQ1 2024","FQ1 2024","Currency=USD","Period=FQ","BEST_FPERIOD_OVERRIDE=FQ","FILING_STATUS=MR","SCALING_FORMAT=MLN","Sort=A","Dates=H","DateFormat=P","Fill=—","Direction=H","UseDPDF=Y")</f>
        <v>0</v>
      </c>
      <c r="X43" s="13">
        <f>_xll.BDH("ALNY US Equity","CF_LT_DEBT_CAP_LEAS_PROCEEDS","FQ2 2024","FQ2 2024","Currency=USD","Period=FQ","BEST_FPERIOD_OVERRIDE=FQ","FILING_STATUS=MR","SCALING_FORMAT=MLN","Sort=A","Dates=H","DateFormat=P","Fill=—","Direction=H","UseDPDF=Y")</f>
        <v>0</v>
      </c>
      <c r="Y43" s="13">
        <f>_xll.BDH("ALNY US Equity","CF_LT_DEBT_CAP_LEAS_PROCEEDS","FQ3 2024","FQ3 2024","Currency=USD","Period=FQ","BEST_FPERIOD_OVERRIDE=FQ","FILING_STATUS=MR","SCALING_FORMAT=MLN","Sort=A","Dates=H","DateFormat=P","Fill=—","Direction=H","UseDPDF=Y")</f>
        <v>0</v>
      </c>
      <c r="Z43" s="13">
        <f>_xll.BDH("ALNY US Equity","CF_LT_DEBT_CAP_LEAS_PROCEEDS","FQ4 2024","FQ4 2024","Currency=USD","Period=FQ","BEST_FPERIOD_OVERRIDE=FQ","FILING_STATUS=MR","SCALING_FORMAT=MLN","Sort=A","Dates=H","DateFormat=P","Fill=—","Direction=H","UseDPDF=Y")</f>
        <v>0</v>
      </c>
    </row>
    <row r="44" spans="1:26" x14ac:dyDescent="0.25">
      <c r="A44" s="10" t="s">
        <v>404</v>
      </c>
      <c r="B44" s="10" t="s">
        <v>405</v>
      </c>
      <c r="C44" s="13">
        <f>_xll.BDH("ALNY US Equity","CF_LT_DEBT_CAP_LEAS_PAYMENT","FQ1 2019","FQ1 2019","Currency=USD","Period=FQ","BEST_FPERIOD_OVERRIDE=FQ","FILING_STATUS=MR","SCALING_FORMAT=MLN","Sort=A","Dates=H","DateFormat=P","Fill=—","Direction=H","UseDPDF=Y")</f>
        <v>0</v>
      </c>
      <c r="D44" s="13">
        <f>_xll.BDH("ALNY US Equity","CF_LT_DEBT_CAP_LEAS_PAYMENT","FQ2 2019","FQ2 2019","Currency=USD","Period=FQ","BEST_FPERIOD_OVERRIDE=FQ","FILING_STATUS=MR","SCALING_FORMAT=MLN","Sort=A","Dates=H","DateFormat=P","Fill=—","Direction=H","UseDPDF=Y")</f>
        <v>0</v>
      </c>
      <c r="E44" s="13" t="str">
        <f>_xll.BDH("ALNY US Equity","CF_LT_DEBT_CAP_LEAS_PAYMENT","FQ3 2019","FQ3 2019","Currency=USD","Period=FQ","BEST_FPERIOD_OVERRIDE=FQ","FILING_STATUS=MR","SCALING_FORMAT=MLN","Sort=A","Dates=H","DateFormat=P","Fill=—","Direction=H","UseDPDF=Y")</f>
        <v>—</v>
      </c>
      <c r="F44" s="13" t="str">
        <f>_xll.BDH("ALNY US Equity","CF_LT_DEBT_CAP_LEAS_PAYMENT","FQ4 2019","FQ4 2019","Currency=USD","Period=FQ","BEST_FPERIOD_OVERRIDE=FQ","FILING_STATUS=MR","SCALING_FORMAT=MLN","Sort=A","Dates=H","DateFormat=P","Fill=—","Direction=H","UseDPDF=Y")</f>
        <v>—</v>
      </c>
      <c r="G44" s="13">
        <f>_xll.BDH("ALNY US Equity","CF_LT_DEBT_CAP_LEAS_PAYMENT","FQ1 2020","FQ1 2020","Currency=USD","Period=FQ","BEST_FPERIOD_OVERRIDE=FQ","FILING_STATUS=MR","SCALING_FORMAT=MLN","Sort=A","Dates=H","DateFormat=P","Fill=—","Direction=H","UseDPDF=Y")</f>
        <v>0</v>
      </c>
      <c r="H44" s="13" t="str">
        <f>_xll.BDH("ALNY US Equity","CF_LT_DEBT_CAP_LEAS_PAYMENT","FQ2 2020","FQ2 2020","Currency=USD","Period=FQ","BEST_FPERIOD_OVERRIDE=FQ","FILING_STATUS=MR","SCALING_FORMAT=MLN","Sort=A","Dates=H","DateFormat=P","Fill=—","Direction=H","UseDPDF=Y")</f>
        <v>—</v>
      </c>
      <c r="I44" s="13" t="str">
        <f>_xll.BDH("ALNY US Equity","CF_LT_DEBT_CAP_LEAS_PAYMENT","FQ3 2020","FQ3 2020","Currency=USD","Period=FQ","BEST_FPERIOD_OVERRIDE=FQ","FILING_STATUS=MR","SCALING_FORMAT=MLN","Sort=A","Dates=H","DateFormat=P","Fill=—","Direction=H","UseDPDF=Y")</f>
        <v>—</v>
      </c>
      <c r="J44" s="13" t="str">
        <f>_xll.BDH("ALNY US Equity","CF_LT_DEBT_CAP_LEAS_PAYMENT","FQ4 2020","FQ4 2020","Currency=USD","Period=FQ","BEST_FPERIOD_OVERRIDE=FQ","FILING_STATUS=MR","SCALING_FORMAT=MLN","Sort=A","Dates=H","DateFormat=P","Fill=—","Direction=H","UseDPDF=Y")</f>
        <v>—</v>
      </c>
      <c r="K44" s="13">
        <f>_xll.BDH("ALNY US Equity","CF_LT_DEBT_CAP_LEAS_PAYMENT","FQ1 2021","FQ1 2021","Currency=USD","Period=FQ","BEST_FPERIOD_OVERRIDE=FQ","FILING_STATUS=MR","SCALING_FORMAT=MLN","Sort=A","Dates=H","DateFormat=P","Fill=—","Direction=H","UseDPDF=Y")</f>
        <v>0</v>
      </c>
      <c r="L44" s="13" t="str">
        <f>_xll.BDH("ALNY US Equity","CF_LT_DEBT_CAP_LEAS_PAYMENT","FQ2 2021","FQ2 2021","Currency=USD","Period=FQ","BEST_FPERIOD_OVERRIDE=FQ","FILING_STATUS=MR","SCALING_FORMAT=MLN","Sort=A","Dates=H","DateFormat=P","Fill=—","Direction=H","UseDPDF=Y")</f>
        <v>—</v>
      </c>
      <c r="M44" s="13" t="str">
        <f>_xll.BDH("ALNY US Equity","CF_LT_DEBT_CAP_LEAS_PAYMENT","FQ3 2021","FQ3 2021","Currency=USD","Period=FQ","BEST_FPERIOD_OVERRIDE=FQ","FILING_STATUS=MR","SCALING_FORMAT=MLN","Sort=A","Dates=H","DateFormat=P","Fill=—","Direction=H","UseDPDF=Y")</f>
        <v>—</v>
      </c>
      <c r="N44" s="13" t="str">
        <f>_xll.BDH("ALNY US Equity","CF_LT_DEBT_CAP_LEAS_PAYMENT","FQ4 2021","FQ4 2021","Currency=USD","Period=FQ","BEST_FPERIOD_OVERRIDE=FQ","FILING_STATUS=MR","SCALING_FORMAT=MLN","Sort=A","Dates=H","DateFormat=P","Fill=—","Direction=H","UseDPDF=Y")</f>
        <v>—</v>
      </c>
      <c r="O44" s="13">
        <f>_xll.BDH("ALNY US Equity","CF_LT_DEBT_CAP_LEAS_PAYMENT","FQ1 2022","FQ1 2022","Currency=USD","Period=FQ","BEST_FPERIOD_OVERRIDE=FQ","FILING_STATUS=MR","SCALING_FORMAT=MLN","Sort=A","Dates=H","DateFormat=P","Fill=—","Direction=H","UseDPDF=Y")</f>
        <v>0</v>
      </c>
      <c r="P44" s="13">
        <f>_xll.BDH("ALNY US Equity","CF_LT_DEBT_CAP_LEAS_PAYMENT","FQ2 2022","FQ2 2022","Currency=USD","Period=FQ","BEST_FPERIOD_OVERRIDE=FQ","FILING_STATUS=MR","SCALING_FORMAT=MLN","Sort=A","Dates=H","DateFormat=P","Fill=—","Direction=H","UseDPDF=Y")</f>
        <v>0</v>
      </c>
      <c r="Q44" s="13" t="str">
        <f>_xll.BDH("ALNY US Equity","CF_LT_DEBT_CAP_LEAS_PAYMENT","FQ3 2022","FQ3 2022","Currency=USD","Period=FQ","BEST_FPERIOD_OVERRIDE=FQ","FILING_STATUS=MR","SCALING_FORMAT=MLN","Sort=A","Dates=H","DateFormat=P","Fill=—","Direction=H","UseDPDF=Y")</f>
        <v>—</v>
      </c>
      <c r="R44" s="13" t="str">
        <f>_xll.BDH("ALNY US Equity","CF_LT_DEBT_CAP_LEAS_PAYMENT","FQ4 2022","FQ4 2022","Currency=USD","Period=FQ","BEST_FPERIOD_OVERRIDE=FQ","FILING_STATUS=MR","SCALING_FORMAT=MLN","Sort=A","Dates=H","DateFormat=P","Fill=—","Direction=H","UseDPDF=Y")</f>
        <v>—</v>
      </c>
      <c r="S44" s="13">
        <f>_xll.BDH("ALNY US Equity","CF_LT_DEBT_CAP_LEAS_PAYMENT","FQ1 2023","FQ1 2023","Currency=USD","Period=FQ","BEST_FPERIOD_OVERRIDE=FQ","FILING_STATUS=MR","SCALING_FORMAT=MLN","Sort=A","Dates=H","DateFormat=P","Fill=—","Direction=H","UseDPDF=Y")</f>
        <v>0</v>
      </c>
      <c r="T44" s="13">
        <f>_xll.BDH("ALNY US Equity","CF_LT_DEBT_CAP_LEAS_PAYMENT","FQ2 2023","FQ2 2023","Currency=USD","Period=FQ","BEST_FPERIOD_OVERRIDE=FQ","FILING_STATUS=MR","SCALING_FORMAT=MLN","Sort=A","Dates=H","DateFormat=P","Fill=—","Direction=H","UseDPDF=Y")</f>
        <v>0</v>
      </c>
      <c r="U44" s="13">
        <f>_xll.BDH("ALNY US Equity","CF_LT_DEBT_CAP_LEAS_PAYMENT","FQ3 2023","FQ3 2023","Currency=USD","Period=FQ","BEST_FPERIOD_OVERRIDE=FQ","FILING_STATUS=MR","SCALING_FORMAT=MLN","Sort=A","Dates=H","DateFormat=P","Fill=—","Direction=H","UseDPDF=Y")</f>
        <v>0</v>
      </c>
      <c r="V44" s="13">
        <f>_xll.BDH("ALNY US Equity","CF_LT_DEBT_CAP_LEAS_PAYMENT","FQ4 2023","FQ4 2023","Currency=USD","Period=FQ","BEST_FPERIOD_OVERRIDE=FQ","FILING_STATUS=MR","SCALING_FORMAT=MLN","Sort=A","Dates=H","DateFormat=P","Fill=—","Direction=H","UseDPDF=Y")</f>
        <v>0</v>
      </c>
      <c r="W44" s="13">
        <f>_xll.BDH("ALNY US Equity","CF_LT_DEBT_CAP_LEAS_PAYMENT","FQ1 2024","FQ1 2024","Currency=USD","Period=FQ","BEST_FPERIOD_OVERRIDE=FQ","FILING_STATUS=MR","SCALING_FORMAT=MLN","Sort=A","Dates=H","DateFormat=P","Fill=—","Direction=H","UseDPDF=Y")</f>
        <v>0</v>
      </c>
      <c r="X44" s="13">
        <f>_xll.BDH("ALNY US Equity","CF_LT_DEBT_CAP_LEAS_PAYMENT","FQ2 2024","FQ2 2024","Currency=USD","Period=FQ","BEST_FPERIOD_OVERRIDE=FQ","FILING_STATUS=MR","SCALING_FORMAT=MLN","Sort=A","Dates=H","DateFormat=P","Fill=—","Direction=H","UseDPDF=Y")</f>
        <v>0</v>
      </c>
      <c r="Y44" s="13">
        <f>_xll.BDH("ALNY US Equity","CF_LT_DEBT_CAP_LEAS_PAYMENT","FQ3 2024","FQ3 2024","Currency=USD","Period=FQ","BEST_FPERIOD_OVERRIDE=FQ","FILING_STATUS=MR","SCALING_FORMAT=MLN","Sort=A","Dates=H","DateFormat=P","Fill=—","Direction=H","UseDPDF=Y")</f>
        <v>0</v>
      </c>
      <c r="Z44" s="13">
        <f>_xll.BDH("ALNY US Equity","CF_LT_DEBT_CAP_LEAS_PAYMENT","FQ4 2024","FQ4 2024","Currency=USD","Period=FQ","BEST_FPERIOD_OVERRIDE=FQ","FILING_STATUS=MR","SCALING_FORMAT=MLN","Sort=A","Dates=H","DateFormat=P","Fill=—","Direction=H","UseDPDF=Y")</f>
        <v>0</v>
      </c>
    </row>
    <row r="45" spans="1:26" x14ac:dyDescent="0.25">
      <c r="A45" s="10" t="s">
        <v>406</v>
      </c>
      <c r="B45" s="10" t="s">
        <v>407</v>
      </c>
      <c r="C45" s="13">
        <f>_xll.BDH("ALNY US Equity","PROC_FR_REPURCH_EQTY_DETAILED","FQ1 2019","FQ1 2019","Currency=USD","Period=FQ","BEST_FPERIOD_OVERRIDE=FQ","FILING_STATUS=MR","SCALING_FORMAT=MLN","Sort=A","Dates=H","DateFormat=P","Fill=—","Direction=H","UseDPDF=Y")</f>
        <v>390.93099999999998</v>
      </c>
      <c r="D45" s="13">
        <f>_xll.BDH("ALNY US Equity","PROC_FR_REPURCH_EQTY_DETAILED","FQ2 2019","FQ2 2019","Currency=USD","Period=FQ","BEST_FPERIOD_OVERRIDE=FQ","FILING_STATUS=MR","SCALING_FORMAT=MLN","Sort=A","Dates=H","DateFormat=P","Fill=—","Direction=H","UseDPDF=Y")</f>
        <v>30.71</v>
      </c>
      <c r="E45" s="13">
        <f>_xll.BDH("ALNY US Equity","PROC_FR_REPURCH_EQTY_DETAILED","FQ3 2019","FQ3 2019","Currency=USD","Period=FQ","BEST_FPERIOD_OVERRIDE=FQ","FILING_STATUS=MR","SCALING_FORMAT=MLN","Sort=A","Dates=H","DateFormat=P","Fill=—","Direction=H","UseDPDF=Y")</f>
        <v>9.3010000000000002</v>
      </c>
      <c r="F45" s="13">
        <f>_xll.BDH("ALNY US Equity","PROC_FR_REPURCH_EQTY_DETAILED","FQ4 2019","FQ4 2019","Currency=USD","Period=FQ","BEST_FPERIOD_OVERRIDE=FQ","FILING_STATUS=MR","SCALING_FORMAT=MLN","Sort=A","Dates=H","DateFormat=P","Fill=—","Direction=H","UseDPDF=Y")</f>
        <v>40.341999999999999</v>
      </c>
      <c r="G45" s="13">
        <f>_xll.BDH("ALNY US Equity","PROC_FR_REPURCH_EQTY_DETAILED","FQ1 2020","FQ1 2020","Currency=USD","Period=FQ","BEST_FPERIOD_OVERRIDE=FQ","FILING_STATUS=MR","SCALING_FORMAT=MLN","Sort=A","Dates=H","DateFormat=P","Fill=—","Direction=H","UseDPDF=Y")</f>
        <v>53.869</v>
      </c>
      <c r="H45" s="13">
        <f>_xll.BDH("ALNY US Equity","PROC_FR_REPURCH_EQTY_DETAILED","FQ2 2020","FQ2 2020","Currency=USD","Period=FQ","BEST_FPERIOD_OVERRIDE=FQ","FILING_STATUS=MR","SCALING_FORMAT=MLN","Sort=A","Dates=H","DateFormat=P","Fill=—","Direction=H","UseDPDF=Y")</f>
        <v>697.14099999999996</v>
      </c>
      <c r="I45" s="13">
        <f>_xll.BDH("ALNY US Equity","PROC_FR_REPURCH_EQTY_DETAILED","FQ3 2020","FQ3 2020","Currency=USD","Period=FQ","BEST_FPERIOD_OVERRIDE=FQ","FILING_STATUS=MR","SCALING_FORMAT=MLN","Sort=A","Dates=H","DateFormat=P","Fill=—","Direction=H","UseDPDF=Y")</f>
        <v>29.946999999999999</v>
      </c>
      <c r="J45" s="13">
        <f>_xll.BDH("ALNY US Equity","PROC_FR_REPURCH_EQTY_DETAILED","FQ4 2020","FQ4 2020","Currency=USD","Period=FQ","BEST_FPERIOD_OVERRIDE=FQ","FILING_STATUS=MR","SCALING_FORMAT=MLN","Sort=A","Dates=H","DateFormat=P","Fill=—","Direction=H","UseDPDF=Y")</f>
        <v>19.024999999999999</v>
      </c>
      <c r="K45" s="13">
        <f>_xll.BDH("ALNY US Equity","PROC_FR_REPURCH_EQTY_DETAILED","FQ1 2021","FQ1 2021","Currency=USD","Period=FQ","BEST_FPERIOD_OVERRIDE=FQ","FILING_STATUS=MR","SCALING_FORMAT=MLN","Sort=A","Dates=H","DateFormat=P","Fill=—","Direction=H","UseDPDF=Y")</f>
        <v>46.976999999999997</v>
      </c>
      <c r="L45" s="13">
        <f>_xll.BDH("ALNY US Equity","PROC_FR_REPURCH_EQTY_DETAILED","FQ2 2021","FQ2 2021","Currency=USD","Period=FQ","BEST_FPERIOD_OVERRIDE=FQ","FILING_STATUS=MR","SCALING_FORMAT=MLN","Sort=A","Dates=H","DateFormat=P","Fill=—","Direction=H","UseDPDF=Y")</f>
        <v>81.861000000000004</v>
      </c>
      <c r="M45" s="13">
        <f>_xll.BDH("ALNY US Equity","PROC_FR_REPURCH_EQTY_DETAILED","FQ3 2021","FQ3 2021","Currency=USD","Period=FQ","BEST_FPERIOD_OVERRIDE=FQ","FILING_STATUS=MR","SCALING_FORMAT=MLN","Sort=A","Dates=H","DateFormat=P","Fill=—","Direction=H","UseDPDF=Y")</f>
        <v>572.38900000000001</v>
      </c>
      <c r="N45" s="13">
        <f>_xll.BDH("ALNY US Equity","PROC_FR_REPURCH_EQTY_DETAILED","FQ4 2021","FQ4 2021","Currency=USD","Period=FQ","BEST_FPERIOD_OVERRIDE=FQ","FILING_STATUS=MR","SCALING_FORMAT=MLN","Sort=A","Dates=H","DateFormat=P","Fill=—","Direction=H","UseDPDF=Y")</f>
        <v>45.040999999999997</v>
      </c>
      <c r="O45" s="13">
        <f>_xll.BDH("ALNY US Equity","PROC_FR_REPURCH_EQTY_DETAILED","FQ1 2022","FQ1 2022","Currency=USD","Period=FQ","BEST_FPERIOD_OVERRIDE=FQ","FILING_STATUS=MR","SCALING_FORMAT=MLN","Sort=A","Dates=H","DateFormat=P","Fill=—","Direction=H","UseDPDF=Y")</f>
        <v>27.123000000000001</v>
      </c>
      <c r="P45" s="13">
        <f>_xll.BDH("ALNY US Equity","PROC_FR_REPURCH_EQTY_DETAILED","FQ2 2022","FQ2 2022","Currency=USD","Period=FQ","BEST_FPERIOD_OVERRIDE=FQ","FILING_STATUS=MR","SCALING_FORMAT=MLN","Sort=A","Dates=H","DateFormat=P","Fill=—","Direction=H","UseDPDF=Y")</f>
        <v>22.503</v>
      </c>
      <c r="Q45" s="13">
        <f>_xll.BDH("ALNY US Equity","PROC_FR_REPURCH_EQTY_DETAILED","FQ3 2022","FQ3 2022","Currency=USD","Period=FQ","BEST_FPERIOD_OVERRIDE=FQ","FILING_STATUS=MR","SCALING_FORMAT=MLN","Sort=A","Dates=H","DateFormat=P","Fill=—","Direction=H","UseDPDF=Y")</f>
        <v>153.02000000000001</v>
      </c>
      <c r="R45" s="13">
        <f>_xll.BDH("ALNY US Equity","PROC_FR_REPURCH_EQTY_DETAILED","FQ4 2022","FQ4 2022","Currency=USD","Period=FQ","BEST_FPERIOD_OVERRIDE=FQ","FILING_STATUS=MR","SCALING_FORMAT=MLN","Sort=A","Dates=H","DateFormat=P","Fill=—","Direction=H","UseDPDF=Y")</f>
        <v>56.713999999999999</v>
      </c>
      <c r="S45" s="13">
        <f>_xll.BDH("ALNY US Equity","PROC_FR_REPURCH_EQTY_DETAILED","FQ1 2023","FQ1 2023","Currency=USD","Period=FQ","BEST_FPERIOD_OVERRIDE=FQ","FILING_STATUS=MR","SCALING_FORMAT=MLN","Sort=A","Dates=H","DateFormat=P","Fill=—","Direction=H","UseDPDF=Y")</f>
        <v>42.371000000000002</v>
      </c>
      <c r="T45" s="13">
        <f>_xll.BDH("ALNY US Equity","PROC_FR_REPURCH_EQTY_DETAILED","FQ2 2023","FQ2 2023","Currency=USD","Period=FQ","BEST_FPERIOD_OVERRIDE=FQ","FILING_STATUS=MR","SCALING_FORMAT=MLN","Sort=A","Dates=H","DateFormat=P","Fill=—","Direction=H","UseDPDF=Y")</f>
        <v>49.393999999999998</v>
      </c>
      <c r="U45" s="13">
        <f>_xll.BDH("ALNY US Equity","PROC_FR_REPURCH_EQTY_DETAILED","FQ3 2023","FQ3 2023","Currency=USD","Period=FQ","BEST_FPERIOD_OVERRIDE=FQ","FILING_STATUS=MR","SCALING_FORMAT=MLN","Sort=A","Dates=H","DateFormat=P","Fill=—","Direction=H","UseDPDF=Y")</f>
        <v>24.805</v>
      </c>
      <c r="V45" s="13">
        <f>_xll.BDH("ALNY US Equity","PROC_FR_REPURCH_EQTY_DETAILED","FQ4 2023","FQ4 2023","Currency=USD","Period=FQ","BEST_FPERIOD_OVERRIDE=FQ","FILING_STATUS=MR","SCALING_FORMAT=MLN","Sort=A","Dates=H","DateFormat=P","Fill=—","Direction=H","UseDPDF=Y")</f>
        <v>30.893999999999998</v>
      </c>
      <c r="W45" s="13">
        <f>_xll.BDH("ALNY US Equity","PROC_FR_REPURCH_EQTY_DETAILED","FQ1 2024","FQ1 2024","Currency=USD","Period=FQ","BEST_FPERIOD_OVERRIDE=FQ","FILING_STATUS=MR","SCALING_FORMAT=MLN","Sort=A","Dates=H","DateFormat=P","Fill=—","Direction=H","UseDPDF=Y")</f>
        <v>25.859000000000002</v>
      </c>
      <c r="X45" s="13">
        <f>_xll.BDH("ALNY US Equity","PROC_FR_REPURCH_EQTY_DETAILED","FQ2 2024","FQ2 2024","Currency=USD","Period=FQ","BEST_FPERIOD_OVERRIDE=FQ","FILING_STATUS=MR","SCALING_FORMAT=MLN","Sort=A","Dates=H","DateFormat=P","Fill=—","Direction=H","UseDPDF=Y")</f>
        <v>132.77799999999999</v>
      </c>
      <c r="Y45" s="13">
        <f>_xll.BDH("ALNY US Equity","PROC_FR_REPURCH_EQTY_DETAILED","FQ3 2024","FQ3 2024","Currency=USD","Period=FQ","BEST_FPERIOD_OVERRIDE=FQ","FILING_STATUS=MR","SCALING_FORMAT=MLN","Sort=A","Dates=H","DateFormat=P","Fill=—","Direction=H","UseDPDF=Y")</f>
        <v>108.036</v>
      </c>
      <c r="Z45" s="13">
        <f>_xll.BDH("ALNY US Equity","PROC_FR_REPURCH_EQTY_DETAILED","FQ4 2024","FQ4 2024","Currency=USD","Period=FQ","BEST_FPERIOD_OVERRIDE=FQ","FILING_STATUS=MR","SCALING_FORMAT=MLN","Sort=A","Dates=H","DateFormat=P","Fill=—","Direction=H","UseDPDF=Y")</f>
        <v>36.277999999999999</v>
      </c>
    </row>
    <row r="46" spans="1:26" x14ac:dyDescent="0.25">
      <c r="A46" s="10" t="s">
        <v>408</v>
      </c>
      <c r="B46" s="10" t="s">
        <v>409</v>
      </c>
      <c r="C46" s="13">
        <f>_xll.BDH("ALNY US Equity","CF_INCR_CAP_STOCK","FQ1 2019","FQ1 2019","Currency=USD","Period=FQ","BEST_FPERIOD_OVERRIDE=FQ","FILING_STATUS=MR","SCALING_FORMAT=MLN","Sort=A","Dates=H","DateFormat=P","Fill=—","Direction=H","UseDPDF=Y")</f>
        <v>390.983</v>
      </c>
      <c r="D46" s="13">
        <f>_xll.BDH("ALNY US Equity","CF_INCR_CAP_STOCK","FQ2 2019","FQ2 2019","Currency=USD","Period=FQ","BEST_FPERIOD_OVERRIDE=FQ","FILING_STATUS=MR","SCALING_FORMAT=MLN","Sort=A","Dates=H","DateFormat=P","Fill=—","Direction=H","UseDPDF=Y")</f>
        <v>30.742000000000001</v>
      </c>
      <c r="E46" s="13">
        <f>_xll.BDH("ALNY US Equity","CF_INCR_CAP_STOCK","FQ3 2019","FQ3 2019","Currency=USD","Period=FQ","BEST_FPERIOD_OVERRIDE=FQ","FILING_STATUS=MR","SCALING_FORMAT=MLN","Sort=A","Dates=H","DateFormat=P","Fill=—","Direction=H","UseDPDF=Y")</f>
        <v>9.3010000000000002</v>
      </c>
      <c r="F46" s="13" t="str">
        <f>_xll.BDH("ALNY US Equity","CF_INCR_CAP_STOCK","FQ4 2019","FQ4 2019","Currency=USD","Period=FQ","BEST_FPERIOD_OVERRIDE=FQ","FILING_STATUS=MR","SCALING_FORMAT=MLN","Sort=A","Dates=H","DateFormat=P","Fill=—","Direction=H","UseDPDF=Y")</f>
        <v>—</v>
      </c>
      <c r="G46" s="13">
        <f>_xll.BDH("ALNY US Equity","CF_INCR_CAP_STOCK","FQ1 2020","FQ1 2020","Currency=USD","Period=FQ","BEST_FPERIOD_OVERRIDE=FQ","FILING_STATUS=MR","SCALING_FORMAT=MLN","Sort=A","Dates=H","DateFormat=P","Fill=—","Direction=H","UseDPDF=Y")</f>
        <v>53.869</v>
      </c>
      <c r="H46" s="13">
        <f>_xll.BDH("ALNY US Equity","CF_INCR_CAP_STOCK","FQ2 2020","FQ2 2020","Currency=USD","Period=FQ","BEST_FPERIOD_OVERRIDE=FQ","FILING_STATUS=MR","SCALING_FORMAT=MLN","Sort=A","Dates=H","DateFormat=P","Fill=—","Direction=H","UseDPDF=Y")</f>
        <v>697.14099999999996</v>
      </c>
      <c r="I46" s="13">
        <f>_xll.BDH("ALNY US Equity","CF_INCR_CAP_STOCK","FQ3 2020","FQ3 2020","Currency=USD","Period=FQ","BEST_FPERIOD_OVERRIDE=FQ","FILING_STATUS=MR","SCALING_FORMAT=MLN","Sort=A","Dates=H","DateFormat=P","Fill=—","Direction=H","UseDPDF=Y")</f>
        <v>29.946999999999999</v>
      </c>
      <c r="J46" s="13">
        <f>_xll.BDH("ALNY US Equity","CF_INCR_CAP_STOCK","FQ4 2020","FQ4 2020","Currency=USD","Period=FQ","BEST_FPERIOD_OVERRIDE=FQ","FILING_STATUS=MR","SCALING_FORMAT=MLN","Sort=A","Dates=H","DateFormat=P","Fill=—","Direction=H","UseDPDF=Y")</f>
        <v>19.024999999999999</v>
      </c>
      <c r="K46" s="13">
        <f>_xll.BDH("ALNY US Equity","CF_INCR_CAP_STOCK","FQ1 2021","FQ1 2021","Currency=USD","Period=FQ","BEST_FPERIOD_OVERRIDE=FQ","FILING_STATUS=MR","SCALING_FORMAT=MLN","Sort=A","Dates=H","DateFormat=P","Fill=—","Direction=H","UseDPDF=Y")</f>
        <v>46.976999999999997</v>
      </c>
      <c r="L46" s="13">
        <f>_xll.BDH("ALNY US Equity","CF_INCR_CAP_STOCK","FQ2 2021","FQ2 2021","Currency=USD","Period=FQ","BEST_FPERIOD_OVERRIDE=FQ","FILING_STATUS=MR","SCALING_FORMAT=MLN","Sort=A","Dates=H","DateFormat=P","Fill=—","Direction=H","UseDPDF=Y")</f>
        <v>81.861000000000004</v>
      </c>
      <c r="M46" s="13">
        <f>_xll.BDH("ALNY US Equity","CF_INCR_CAP_STOCK","FQ3 2021","FQ3 2021","Currency=USD","Period=FQ","BEST_FPERIOD_OVERRIDE=FQ","FILING_STATUS=MR","SCALING_FORMAT=MLN","Sort=A","Dates=H","DateFormat=P","Fill=—","Direction=H","UseDPDF=Y")</f>
        <v>572.38900000000001</v>
      </c>
      <c r="N46" s="13">
        <f>_xll.BDH("ALNY US Equity","CF_INCR_CAP_STOCK","FQ4 2021","FQ4 2021","Currency=USD","Period=FQ","BEST_FPERIOD_OVERRIDE=FQ","FILING_STATUS=MR","SCALING_FORMAT=MLN","Sort=A","Dates=H","DateFormat=P","Fill=—","Direction=H","UseDPDF=Y")</f>
        <v>45.040999999999997</v>
      </c>
      <c r="O46" s="13">
        <f>_xll.BDH("ALNY US Equity","CF_INCR_CAP_STOCK","FQ1 2022","FQ1 2022","Currency=USD","Period=FQ","BEST_FPERIOD_OVERRIDE=FQ","FILING_STATUS=MR","SCALING_FORMAT=MLN","Sort=A","Dates=H","DateFormat=P","Fill=—","Direction=H","UseDPDF=Y")</f>
        <v>27.123000000000001</v>
      </c>
      <c r="P46" s="13">
        <f>_xll.BDH("ALNY US Equity","CF_INCR_CAP_STOCK","FQ2 2022","FQ2 2022","Currency=USD","Period=FQ","BEST_FPERIOD_OVERRIDE=FQ","FILING_STATUS=MR","SCALING_FORMAT=MLN","Sort=A","Dates=H","DateFormat=P","Fill=—","Direction=H","UseDPDF=Y")</f>
        <v>22.503</v>
      </c>
      <c r="Q46" s="13">
        <f>_xll.BDH("ALNY US Equity","CF_INCR_CAP_STOCK","FQ3 2022","FQ3 2022","Currency=USD","Period=FQ","BEST_FPERIOD_OVERRIDE=FQ","FILING_STATUS=MR","SCALING_FORMAT=MLN","Sort=A","Dates=H","DateFormat=P","Fill=—","Direction=H","UseDPDF=Y")</f>
        <v>153.02000000000001</v>
      </c>
      <c r="R46" s="13">
        <f>_xll.BDH("ALNY US Equity","CF_INCR_CAP_STOCK","FQ4 2022","FQ4 2022","Currency=USD","Period=FQ","BEST_FPERIOD_OVERRIDE=FQ","FILING_STATUS=MR","SCALING_FORMAT=MLN","Sort=A","Dates=H","DateFormat=P","Fill=—","Direction=H","UseDPDF=Y")</f>
        <v>56.713999999999999</v>
      </c>
      <c r="S46" s="13">
        <f>_xll.BDH("ALNY US Equity","CF_INCR_CAP_STOCK","FQ1 2023","FQ1 2023","Currency=USD","Period=FQ","BEST_FPERIOD_OVERRIDE=FQ","FILING_STATUS=MR","SCALING_FORMAT=MLN","Sort=A","Dates=H","DateFormat=P","Fill=—","Direction=H","UseDPDF=Y")</f>
        <v>42.371000000000002</v>
      </c>
      <c r="T46" s="13">
        <f>_xll.BDH("ALNY US Equity","CF_INCR_CAP_STOCK","FQ2 2023","FQ2 2023","Currency=USD","Period=FQ","BEST_FPERIOD_OVERRIDE=FQ","FILING_STATUS=MR","SCALING_FORMAT=MLN","Sort=A","Dates=H","DateFormat=P","Fill=—","Direction=H","UseDPDF=Y")</f>
        <v>49.393999999999998</v>
      </c>
      <c r="U46" s="13">
        <f>_xll.BDH("ALNY US Equity","CF_INCR_CAP_STOCK","FQ3 2023","FQ3 2023","Currency=USD","Period=FQ","BEST_FPERIOD_OVERRIDE=FQ","FILING_STATUS=MR","SCALING_FORMAT=MLN","Sort=A","Dates=H","DateFormat=P","Fill=—","Direction=H","UseDPDF=Y")</f>
        <v>24.805</v>
      </c>
      <c r="V46" s="13">
        <f>_xll.BDH("ALNY US Equity","CF_INCR_CAP_STOCK","FQ4 2023","FQ4 2023","Currency=USD","Period=FQ","BEST_FPERIOD_OVERRIDE=FQ","FILING_STATUS=MR","SCALING_FORMAT=MLN","Sort=A","Dates=H","DateFormat=P","Fill=—","Direction=H","UseDPDF=Y")</f>
        <v>30.893999999999998</v>
      </c>
      <c r="W46" s="13">
        <f>_xll.BDH("ALNY US Equity","CF_INCR_CAP_STOCK","FQ1 2024","FQ1 2024","Currency=USD","Period=FQ","BEST_FPERIOD_OVERRIDE=FQ","FILING_STATUS=MR","SCALING_FORMAT=MLN","Sort=A","Dates=H","DateFormat=P","Fill=—","Direction=H","UseDPDF=Y")</f>
        <v>25.859000000000002</v>
      </c>
      <c r="X46" s="13">
        <f>_xll.BDH("ALNY US Equity","CF_INCR_CAP_STOCK","FQ2 2024","FQ2 2024","Currency=USD","Period=FQ","BEST_FPERIOD_OVERRIDE=FQ","FILING_STATUS=MR","SCALING_FORMAT=MLN","Sort=A","Dates=H","DateFormat=P","Fill=—","Direction=H","UseDPDF=Y")</f>
        <v>132.77799999999999</v>
      </c>
      <c r="Y46" s="13">
        <f>_xll.BDH("ALNY US Equity","CF_INCR_CAP_STOCK","FQ3 2024","FQ3 2024","Currency=USD","Period=FQ","BEST_FPERIOD_OVERRIDE=FQ","FILING_STATUS=MR","SCALING_FORMAT=MLN","Sort=A","Dates=H","DateFormat=P","Fill=—","Direction=H","UseDPDF=Y")</f>
        <v>108.036</v>
      </c>
      <c r="Z46" s="13">
        <f>_xll.BDH("ALNY US Equity","CF_INCR_CAP_STOCK","FQ4 2024","FQ4 2024","Currency=USD","Period=FQ","BEST_FPERIOD_OVERRIDE=FQ","FILING_STATUS=MR","SCALING_FORMAT=MLN","Sort=A","Dates=H","DateFormat=P","Fill=—","Direction=H","UseDPDF=Y")</f>
        <v>36.277999999999999</v>
      </c>
    </row>
    <row r="47" spans="1:26" x14ac:dyDescent="0.25">
      <c r="A47" s="10" t="s">
        <v>410</v>
      </c>
      <c r="B47" s="10" t="s">
        <v>411</v>
      </c>
      <c r="C47" s="13">
        <f>_xll.BDH("ALNY US Equity","CF_DECR_CAP_STOCK","FQ1 2019","FQ1 2019","Currency=USD","Period=FQ","BEST_FPERIOD_OVERRIDE=FQ","FILING_STATUS=MR","SCALING_FORMAT=MLN","Sort=A","Dates=H","DateFormat=P","Fill=—","Direction=H","UseDPDF=Y")</f>
        <v>-5.1999999999999998E-2</v>
      </c>
      <c r="D47" s="13">
        <f>_xll.BDH("ALNY US Equity","CF_DECR_CAP_STOCK","FQ2 2019","FQ2 2019","Currency=USD","Period=FQ","BEST_FPERIOD_OVERRIDE=FQ","FILING_STATUS=MR","SCALING_FORMAT=MLN","Sort=A","Dates=H","DateFormat=P","Fill=—","Direction=H","UseDPDF=Y")</f>
        <v>-3.2000000000000001E-2</v>
      </c>
      <c r="E47" s="13">
        <f>_xll.BDH("ALNY US Equity","CF_DECR_CAP_STOCK","FQ3 2019","FQ3 2019","Currency=USD","Period=FQ","BEST_FPERIOD_OVERRIDE=FQ","FILING_STATUS=MR","SCALING_FORMAT=MLN","Sort=A","Dates=H","DateFormat=P","Fill=—","Direction=H","UseDPDF=Y")</f>
        <v>0</v>
      </c>
      <c r="F47" s="13" t="str">
        <f>_xll.BDH("ALNY US Equity","CF_DECR_CAP_STOCK","FQ4 2019","FQ4 2019","Currency=USD","Period=FQ","BEST_FPERIOD_OVERRIDE=FQ","FILING_STATUS=MR","SCALING_FORMAT=MLN","Sort=A","Dates=H","DateFormat=P","Fill=—","Direction=H","UseDPDF=Y")</f>
        <v>—</v>
      </c>
      <c r="G47" s="13">
        <f>_xll.BDH("ALNY US Equity","CF_DECR_CAP_STOCK","FQ1 2020","FQ1 2020","Currency=USD","Period=FQ","BEST_FPERIOD_OVERRIDE=FQ","FILING_STATUS=MR","SCALING_FORMAT=MLN","Sort=A","Dates=H","DateFormat=P","Fill=—","Direction=H","UseDPDF=Y")</f>
        <v>0</v>
      </c>
      <c r="H47" s="13">
        <f>_xll.BDH("ALNY US Equity","CF_DECR_CAP_STOCK","FQ2 2020","FQ2 2020","Currency=USD","Period=FQ","BEST_FPERIOD_OVERRIDE=FQ","FILING_STATUS=MR","SCALING_FORMAT=MLN","Sort=A","Dates=H","DateFormat=P","Fill=—","Direction=H","UseDPDF=Y")</f>
        <v>0</v>
      </c>
      <c r="I47" s="13">
        <f>_xll.BDH("ALNY US Equity","CF_DECR_CAP_STOCK","FQ3 2020","FQ3 2020","Currency=USD","Period=FQ","BEST_FPERIOD_OVERRIDE=FQ","FILING_STATUS=MR","SCALING_FORMAT=MLN","Sort=A","Dates=H","DateFormat=P","Fill=—","Direction=H","UseDPDF=Y")</f>
        <v>0</v>
      </c>
      <c r="J47" s="13">
        <f>_xll.BDH("ALNY US Equity","CF_DECR_CAP_STOCK","FQ4 2020","FQ4 2020","Currency=USD","Period=FQ","BEST_FPERIOD_OVERRIDE=FQ","FILING_STATUS=MR","SCALING_FORMAT=MLN","Sort=A","Dates=H","DateFormat=P","Fill=—","Direction=H","UseDPDF=Y")</f>
        <v>0</v>
      </c>
      <c r="K47" s="13">
        <f>_xll.BDH("ALNY US Equity","CF_DECR_CAP_STOCK","FQ1 2021","FQ1 2021","Currency=USD","Period=FQ","BEST_FPERIOD_OVERRIDE=FQ","FILING_STATUS=MR","SCALING_FORMAT=MLN","Sort=A","Dates=H","DateFormat=P","Fill=—","Direction=H","UseDPDF=Y")</f>
        <v>0</v>
      </c>
      <c r="L47" s="13">
        <f>_xll.BDH("ALNY US Equity","CF_DECR_CAP_STOCK","FQ2 2021","FQ2 2021","Currency=USD","Period=FQ","BEST_FPERIOD_OVERRIDE=FQ","FILING_STATUS=MR","SCALING_FORMAT=MLN","Sort=A","Dates=H","DateFormat=P","Fill=—","Direction=H","UseDPDF=Y")</f>
        <v>0</v>
      </c>
      <c r="M47" s="13">
        <f>_xll.BDH("ALNY US Equity","CF_DECR_CAP_STOCK","FQ3 2021","FQ3 2021","Currency=USD","Period=FQ","BEST_FPERIOD_OVERRIDE=FQ","FILING_STATUS=MR","SCALING_FORMAT=MLN","Sort=A","Dates=H","DateFormat=P","Fill=—","Direction=H","UseDPDF=Y")</f>
        <v>0</v>
      </c>
      <c r="N47" s="13">
        <f>_xll.BDH("ALNY US Equity","CF_DECR_CAP_STOCK","FQ4 2021","FQ4 2021","Currency=USD","Period=FQ","BEST_FPERIOD_OVERRIDE=FQ","FILING_STATUS=MR","SCALING_FORMAT=MLN","Sort=A","Dates=H","DateFormat=P","Fill=—","Direction=H","UseDPDF=Y")</f>
        <v>0</v>
      </c>
      <c r="O47" s="13">
        <f>_xll.BDH("ALNY US Equity","CF_DECR_CAP_STOCK","FQ1 2022","FQ1 2022","Currency=USD","Period=FQ","BEST_FPERIOD_OVERRIDE=FQ","FILING_STATUS=MR","SCALING_FORMAT=MLN","Sort=A","Dates=H","DateFormat=P","Fill=—","Direction=H","UseDPDF=Y")</f>
        <v>0</v>
      </c>
      <c r="P47" s="13">
        <f>_xll.BDH("ALNY US Equity","CF_DECR_CAP_STOCK","FQ2 2022","FQ2 2022","Currency=USD","Period=FQ","BEST_FPERIOD_OVERRIDE=FQ","FILING_STATUS=MR","SCALING_FORMAT=MLN","Sort=A","Dates=H","DateFormat=P","Fill=—","Direction=H","UseDPDF=Y")</f>
        <v>0</v>
      </c>
      <c r="Q47" s="13">
        <f>_xll.BDH("ALNY US Equity","CF_DECR_CAP_STOCK","FQ3 2022","FQ3 2022","Currency=USD","Period=FQ","BEST_FPERIOD_OVERRIDE=FQ","FILING_STATUS=MR","SCALING_FORMAT=MLN","Sort=A","Dates=H","DateFormat=P","Fill=—","Direction=H","UseDPDF=Y")</f>
        <v>0</v>
      </c>
      <c r="R47" s="13">
        <f>_xll.BDH("ALNY US Equity","CF_DECR_CAP_STOCK","FQ4 2022","FQ4 2022","Currency=USD","Period=FQ","BEST_FPERIOD_OVERRIDE=FQ","FILING_STATUS=MR","SCALING_FORMAT=MLN","Sort=A","Dates=H","DateFormat=P","Fill=—","Direction=H","UseDPDF=Y")</f>
        <v>0</v>
      </c>
      <c r="S47" s="13">
        <f>_xll.BDH("ALNY US Equity","CF_DECR_CAP_STOCK","FQ1 2023","FQ1 2023","Currency=USD","Period=FQ","BEST_FPERIOD_OVERRIDE=FQ","FILING_STATUS=MR","SCALING_FORMAT=MLN","Sort=A","Dates=H","DateFormat=P","Fill=—","Direction=H","UseDPDF=Y")</f>
        <v>0</v>
      </c>
      <c r="T47" s="13">
        <f>_xll.BDH("ALNY US Equity","CF_DECR_CAP_STOCK","FQ2 2023","FQ2 2023","Currency=USD","Period=FQ","BEST_FPERIOD_OVERRIDE=FQ","FILING_STATUS=MR","SCALING_FORMAT=MLN","Sort=A","Dates=H","DateFormat=P","Fill=—","Direction=H","UseDPDF=Y")</f>
        <v>0</v>
      </c>
      <c r="U47" s="13">
        <f>_xll.BDH("ALNY US Equity","CF_DECR_CAP_STOCK","FQ3 2023","FQ3 2023","Currency=USD","Period=FQ","BEST_FPERIOD_OVERRIDE=FQ","FILING_STATUS=MR","SCALING_FORMAT=MLN","Sort=A","Dates=H","DateFormat=P","Fill=—","Direction=H","UseDPDF=Y")</f>
        <v>0</v>
      </c>
      <c r="V47" s="13">
        <f>_xll.BDH("ALNY US Equity","CF_DECR_CAP_STOCK","FQ4 2023","FQ4 2023","Currency=USD","Period=FQ","BEST_FPERIOD_OVERRIDE=FQ","FILING_STATUS=MR","SCALING_FORMAT=MLN","Sort=A","Dates=H","DateFormat=P","Fill=—","Direction=H","UseDPDF=Y")</f>
        <v>0</v>
      </c>
      <c r="W47" s="13">
        <f>_xll.BDH("ALNY US Equity","CF_DECR_CAP_STOCK","FQ1 2024","FQ1 2024","Currency=USD","Period=FQ","BEST_FPERIOD_OVERRIDE=FQ","FILING_STATUS=MR","SCALING_FORMAT=MLN","Sort=A","Dates=H","DateFormat=P","Fill=—","Direction=H","UseDPDF=Y")</f>
        <v>0</v>
      </c>
      <c r="X47" s="13">
        <f>_xll.BDH("ALNY US Equity","CF_DECR_CAP_STOCK","FQ2 2024","FQ2 2024","Currency=USD","Period=FQ","BEST_FPERIOD_OVERRIDE=FQ","FILING_STATUS=MR","SCALING_FORMAT=MLN","Sort=A","Dates=H","DateFormat=P","Fill=—","Direction=H","UseDPDF=Y")</f>
        <v>0</v>
      </c>
      <c r="Y47" s="13">
        <f>_xll.BDH("ALNY US Equity","CF_DECR_CAP_STOCK","FQ3 2024","FQ3 2024","Currency=USD","Period=FQ","BEST_FPERIOD_OVERRIDE=FQ","FILING_STATUS=MR","SCALING_FORMAT=MLN","Sort=A","Dates=H","DateFormat=P","Fill=—","Direction=H","UseDPDF=Y")</f>
        <v>0</v>
      </c>
      <c r="Z47" s="13">
        <f>_xll.BDH("ALNY US Equity","CF_DECR_CAP_STOCK","FQ4 2024","FQ4 2024","Currency=USD","Period=FQ","BEST_FPERIOD_OVERRIDE=FQ","FILING_STATUS=MR","SCALING_FORMAT=MLN","Sort=A","Dates=H","DateFormat=P","Fill=—","Direction=H","UseDPDF=Y")</f>
        <v>0</v>
      </c>
    </row>
    <row r="48" spans="1:26" x14ac:dyDescent="0.25">
      <c r="A48" s="10" t="s">
        <v>412</v>
      </c>
      <c r="B48" s="10" t="s">
        <v>413</v>
      </c>
      <c r="C48" s="13">
        <f>_xll.BDH("ALNY US Equity","OTHER_FIN_AND_DEC_CAP","FQ1 2019","FQ1 2019","Currency=USD","Period=FQ","BEST_FPERIOD_OVERRIDE=FQ","FILING_STATUS=MR","SCALING_FORMAT=MLN","Sort=A","Dates=H","DateFormat=P","Fill=—","Direction=H","UseDPDF=Y")</f>
        <v>0</v>
      </c>
      <c r="D48" s="13">
        <f>_xll.BDH("ALNY US Equity","OTHER_FIN_AND_DEC_CAP","FQ2 2019","FQ2 2019","Currency=USD","Period=FQ","BEST_FPERIOD_OVERRIDE=FQ","FILING_STATUS=MR","SCALING_FORMAT=MLN","Sort=A","Dates=H","DateFormat=P","Fill=—","Direction=H","UseDPDF=Y")</f>
        <v>381.9</v>
      </c>
      <c r="E48" s="13">
        <f>_xll.BDH("ALNY US Equity","OTHER_FIN_AND_DEC_CAP","FQ3 2019","FQ3 2019","Currency=USD","Period=FQ","BEST_FPERIOD_OVERRIDE=FQ","FILING_STATUS=MR","SCALING_FORMAT=MLN","Sort=A","Dates=H","DateFormat=P","Fill=—","Direction=H","UseDPDF=Y")</f>
        <v>0</v>
      </c>
      <c r="F48" s="13">
        <f>_xll.BDH("ALNY US Equity","OTHER_FIN_AND_DEC_CAP","FQ4 2019","FQ4 2019","Currency=USD","Period=FQ","BEST_FPERIOD_OVERRIDE=FQ","FILING_STATUS=MR","SCALING_FORMAT=MLN","Sort=A","Dates=H","DateFormat=P","Fill=—","Direction=H","UseDPDF=Y")</f>
        <v>0</v>
      </c>
      <c r="G48" s="13">
        <f>_xll.BDH("ALNY US Equity","OTHER_FIN_AND_DEC_CAP","FQ1 2020","FQ1 2020","Currency=USD","Period=FQ","BEST_FPERIOD_OVERRIDE=FQ","FILING_STATUS=MR","SCALING_FORMAT=MLN","Sort=A","Dates=H","DateFormat=P","Fill=—","Direction=H","UseDPDF=Y")</f>
        <v>0</v>
      </c>
      <c r="H48" s="13">
        <f>_xll.BDH("ALNY US Equity","OTHER_FIN_AND_DEC_CAP","FQ2 2020","FQ2 2020","Currency=USD","Period=FQ","BEST_FPERIOD_OVERRIDE=FQ","FILING_STATUS=MR","SCALING_FORMAT=MLN","Sort=A","Dates=H","DateFormat=P","Fill=—","Direction=H","UseDPDF=Y")</f>
        <v>0</v>
      </c>
      <c r="I48" s="13">
        <f>_xll.BDH("ALNY US Equity","OTHER_FIN_AND_DEC_CAP","FQ3 2020","FQ3 2020","Currency=USD","Period=FQ","BEST_FPERIOD_OVERRIDE=FQ","FILING_STATUS=MR","SCALING_FORMAT=MLN","Sort=A","Dates=H","DateFormat=P","Fill=—","Direction=H","UseDPDF=Y")</f>
        <v>4.2</v>
      </c>
      <c r="J48" s="13">
        <f>_xll.BDH("ALNY US Equity","OTHER_FIN_AND_DEC_CAP","FQ4 2020","FQ4 2020","Currency=USD","Period=FQ","BEST_FPERIOD_OVERRIDE=FQ","FILING_STATUS=MR","SCALING_FORMAT=MLN","Sort=A","Dates=H","DateFormat=P","Fill=—","Direction=H","UseDPDF=Y")</f>
        <v>4.2</v>
      </c>
      <c r="K48" s="13">
        <f>_xll.BDH("ALNY US Equity","OTHER_FIN_AND_DEC_CAP","FQ1 2021","FQ1 2021","Currency=USD","Period=FQ","BEST_FPERIOD_OVERRIDE=FQ","FILING_STATUS=MR","SCALING_FORMAT=MLN","Sort=A","Dates=H","DateFormat=P","Fill=—","Direction=H","UseDPDF=Y")</f>
        <v>4.2</v>
      </c>
      <c r="L48" s="13">
        <f>_xll.BDH("ALNY US Equity","OTHER_FIN_AND_DEC_CAP","FQ2 2021","FQ2 2021","Currency=USD","Period=FQ","BEST_FPERIOD_OVERRIDE=FQ","FILING_STATUS=MR","SCALING_FORMAT=MLN","Sort=A","Dates=H","DateFormat=P","Fill=—","Direction=H","UseDPDF=Y")</f>
        <v>4.2</v>
      </c>
      <c r="M48" s="13">
        <f>_xll.BDH("ALNY US Equity","OTHER_FIN_AND_DEC_CAP","FQ3 2021","FQ3 2021","Currency=USD","Period=FQ","BEST_FPERIOD_OVERRIDE=FQ","FILING_STATUS=MR","SCALING_FORMAT=MLN","Sort=A","Dates=H","DateFormat=P","Fill=—","Direction=H","UseDPDF=Y")</f>
        <v>7.7</v>
      </c>
      <c r="N48" s="13">
        <f>_xll.BDH("ALNY US Equity","OTHER_FIN_AND_DEC_CAP","FQ4 2021","FQ4 2021","Currency=USD","Period=FQ","BEST_FPERIOD_OVERRIDE=FQ","FILING_STATUS=MR","SCALING_FORMAT=MLN","Sort=A","Dates=H","DateFormat=P","Fill=—","Direction=H","UseDPDF=Y")</f>
        <v>3.5</v>
      </c>
      <c r="O48" s="13">
        <f>_xll.BDH("ALNY US Equity","OTHER_FIN_AND_DEC_CAP","FQ1 2022","FQ1 2022","Currency=USD","Period=FQ","BEST_FPERIOD_OVERRIDE=FQ","FILING_STATUS=MR","SCALING_FORMAT=MLN","Sort=A","Dates=H","DateFormat=P","Fill=—","Direction=H","UseDPDF=Y")</f>
        <v>7.8330000000000002</v>
      </c>
      <c r="P48" s="13">
        <f>_xll.BDH("ALNY US Equity","OTHER_FIN_AND_DEC_CAP","FQ2 2022","FQ2 2022","Currency=USD","Period=FQ","BEST_FPERIOD_OVERRIDE=FQ","FILING_STATUS=MR","SCALING_FORMAT=MLN","Sort=A","Dates=H","DateFormat=P","Fill=—","Direction=H","UseDPDF=Y")</f>
        <v>7.8339999999999996</v>
      </c>
      <c r="Q48" s="13">
        <f>_xll.BDH("ALNY US Equity","OTHER_FIN_AND_DEC_CAP","FQ3 2022","FQ3 2022","Currency=USD","Period=FQ","BEST_FPERIOD_OVERRIDE=FQ","FILING_STATUS=MR","SCALING_FORMAT=MLN","Sort=A","Dates=H","DateFormat=P","Fill=—","Direction=H","UseDPDF=Y")</f>
        <v>7.8330000000000002</v>
      </c>
      <c r="R48" s="13">
        <f>_xll.BDH("ALNY US Equity","OTHER_FIN_AND_DEC_CAP","FQ4 2022","FQ4 2022","Currency=USD","Period=FQ","BEST_FPERIOD_OVERRIDE=FQ","FILING_STATUS=MR","SCALING_FORMAT=MLN","Sort=A","Dates=H","DateFormat=P","Fill=—","Direction=H","UseDPDF=Y")</f>
        <v>-111.111</v>
      </c>
      <c r="S48" s="13">
        <f>_xll.BDH("ALNY US Equity","OTHER_FIN_AND_DEC_CAP","FQ1 2023","FQ1 2023","Currency=USD","Period=FQ","BEST_FPERIOD_OVERRIDE=FQ","FILING_STATUS=MR","SCALING_FORMAT=MLN","Sort=A","Dates=H","DateFormat=P","Fill=—","Direction=H","UseDPDF=Y")</f>
        <v>4</v>
      </c>
      <c r="T48" s="13">
        <f>_xll.BDH("ALNY US Equity","OTHER_FIN_AND_DEC_CAP","FQ2 2023","FQ2 2023","Currency=USD","Period=FQ","BEST_FPERIOD_OVERRIDE=FQ","FILING_STATUS=MR","SCALING_FORMAT=MLN","Sort=A","Dates=H","DateFormat=P","Fill=—","Direction=H","UseDPDF=Y")</f>
        <v>4</v>
      </c>
      <c r="U48" s="13">
        <f>_xll.BDH("ALNY US Equity","OTHER_FIN_AND_DEC_CAP","FQ3 2023","FQ3 2023","Currency=USD","Period=FQ","BEST_FPERIOD_OVERRIDE=FQ","FILING_STATUS=MR","SCALING_FORMAT=MLN","Sort=A","Dates=H","DateFormat=P","Fill=—","Direction=H","UseDPDF=Y")</f>
        <v>8.3330000000000002</v>
      </c>
      <c r="V48" s="13">
        <f>_xll.BDH("ALNY US Equity","OTHER_FIN_AND_DEC_CAP","FQ4 2023","FQ4 2023","Currency=USD","Period=FQ","BEST_FPERIOD_OVERRIDE=FQ","FILING_STATUS=MR","SCALING_FORMAT=MLN","Sort=A","Dates=H","DateFormat=P","Fill=—","Direction=H","UseDPDF=Y")</f>
        <v>8.3339999999999996</v>
      </c>
      <c r="W48" s="13">
        <f>_xll.BDH("ALNY US Equity","OTHER_FIN_AND_DEC_CAP","FQ1 2024","FQ1 2024","Currency=USD","Period=FQ","BEST_FPERIOD_OVERRIDE=FQ","FILING_STATUS=MR","SCALING_FORMAT=MLN","Sort=A","Dates=H","DateFormat=P","Fill=—","Direction=H","UseDPDF=Y")</f>
        <v>3.052</v>
      </c>
      <c r="X48" s="13">
        <f>_xll.BDH("ALNY US Equity","OTHER_FIN_AND_DEC_CAP","FQ2 2024","FQ2 2024","Currency=USD","Period=FQ","BEST_FPERIOD_OVERRIDE=FQ","FILING_STATUS=MR","SCALING_FORMAT=MLN","Sort=A","Dates=H","DateFormat=P","Fill=—","Direction=H","UseDPDF=Y")</f>
        <v>-1.282</v>
      </c>
      <c r="Y48" s="13">
        <f>_xll.BDH("ALNY US Equity","OTHER_FIN_AND_DEC_CAP","FQ3 2024","FQ3 2024","Currency=USD","Period=FQ","BEST_FPERIOD_OVERRIDE=FQ","FILING_STATUS=MR","SCALING_FORMAT=MLN","Sort=A","Dates=H","DateFormat=P","Fill=—","Direction=H","UseDPDF=Y")</f>
        <v>-5.2809999999999997</v>
      </c>
      <c r="Z48" s="13">
        <f>_xll.BDH("ALNY US Equity","OTHER_FIN_AND_DEC_CAP","FQ4 2024","FQ4 2024","Currency=USD","Period=FQ","BEST_FPERIOD_OVERRIDE=FQ","FILING_STATUS=MR","SCALING_FORMAT=MLN","Sort=A","Dates=H","DateFormat=P","Fill=—","Direction=H","UseDPDF=Y")</f>
        <v>-5.2809999999999997</v>
      </c>
    </row>
    <row r="49" spans="1:26" x14ac:dyDescent="0.25">
      <c r="A49" s="10" t="s">
        <v>359</v>
      </c>
      <c r="B49" s="10" t="s">
        <v>414</v>
      </c>
      <c r="C49" s="13">
        <f>_xll.BDH("ALNY US Equity","CF_NET_CASH_DISCONTINUED_OPS_FIN","FQ1 2019","FQ1 2019","Currency=USD","Period=FQ","BEST_FPERIOD_OVERRIDE=FQ","FILING_STATUS=MR","SCALING_FORMAT=MLN","Sort=A","Dates=H","DateFormat=P","Fill=—","Direction=H","UseDPDF=Y")</f>
        <v>0</v>
      </c>
      <c r="D49" s="13">
        <f>_xll.BDH("ALNY US Equity","CF_NET_CASH_DISCONTINUED_OPS_FIN","FQ2 2019","FQ2 2019","Currency=USD","Period=FQ","BEST_FPERIOD_OVERRIDE=FQ","FILING_STATUS=MR","SCALING_FORMAT=MLN","Sort=A","Dates=H","DateFormat=P","Fill=—","Direction=H","UseDPDF=Y")</f>
        <v>0</v>
      </c>
      <c r="E49" s="13">
        <f>_xll.BDH("ALNY US Equity","CF_NET_CASH_DISCONTINUED_OPS_FIN","FQ3 2019","FQ3 2019","Currency=USD","Period=FQ","BEST_FPERIOD_OVERRIDE=FQ","FILING_STATUS=MR","SCALING_FORMAT=MLN","Sort=A","Dates=H","DateFormat=P","Fill=—","Direction=H","UseDPDF=Y")</f>
        <v>0</v>
      </c>
      <c r="F49" s="13">
        <f>_xll.BDH("ALNY US Equity","CF_NET_CASH_DISCONTINUED_OPS_FIN","FQ4 2019","FQ4 2019","Currency=USD","Period=FQ","BEST_FPERIOD_OVERRIDE=FQ","FILING_STATUS=MR","SCALING_FORMAT=MLN","Sort=A","Dates=H","DateFormat=P","Fill=—","Direction=H","UseDPDF=Y")</f>
        <v>0</v>
      </c>
      <c r="G49" s="13">
        <f>_xll.BDH("ALNY US Equity","CF_NET_CASH_DISCONTINUED_OPS_FIN","FQ1 2020","FQ1 2020","Currency=USD","Period=FQ","BEST_FPERIOD_OVERRIDE=FQ","FILING_STATUS=MR","SCALING_FORMAT=MLN","Sort=A","Dates=H","DateFormat=P","Fill=—","Direction=H","UseDPDF=Y")</f>
        <v>0</v>
      </c>
      <c r="H49" s="13">
        <f>_xll.BDH("ALNY US Equity","CF_NET_CASH_DISCONTINUED_OPS_FIN","FQ2 2020","FQ2 2020","Currency=USD","Period=FQ","BEST_FPERIOD_OVERRIDE=FQ","FILING_STATUS=MR","SCALING_FORMAT=MLN","Sort=A","Dates=H","DateFormat=P","Fill=—","Direction=H","UseDPDF=Y")</f>
        <v>0</v>
      </c>
      <c r="I49" s="13">
        <f>_xll.BDH("ALNY US Equity","CF_NET_CASH_DISCONTINUED_OPS_FIN","FQ3 2020","FQ3 2020","Currency=USD","Period=FQ","BEST_FPERIOD_OVERRIDE=FQ","FILING_STATUS=MR","SCALING_FORMAT=MLN","Sort=A","Dates=H","DateFormat=P","Fill=—","Direction=H","UseDPDF=Y")</f>
        <v>0</v>
      </c>
      <c r="J49" s="13">
        <f>_xll.BDH("ALNY US Equity","CF_NET_CASH_DISCONTINUED_OPS_FIN","FQ4 2020","FQ4 2020","Currency=USD","Period=FQ","BEST_FPERIOD_OVERRIDE=FQ","FILING_STATUS=MR","SCALING_FORMAT=MLN","Sort=A","Dates=H","DateFormat=P","Fill=—","Direction=H","UseDPDF=Y")</f>
        <v>0</v>
      </c>
      <c r="K49" s="13">
        <f>_xll.BDH("ALNY US Equity","CF_NET_CASH_DISCONTINUED_OPS_FIN","FQ1 2021","FQ1 2021","Currency=USD","Period=FQ","BEST_FPERIOD_OVERRIDE=FQ","FILING_STATUS=MR","SCALING_FORMAT=MLN","Sort=A","Dates=H","DateFormat=P","Fill=—","Direction=H","UseDPDF=Y")</f>
        <v>0</v>
      </c>
      <c r="L49" s="13">
        <f>_xll.BDH("ALNY US Equity","CF_NET_CASH_DISCONTINUED_OPS_FIN","FQ2 2021","FQ2 2021","Currency=USD","Period=FQ","BEST_FPERIOD_OVERRIDE=FQ","FILING_STATUS=MR","SCALING_FORMAT=MLN","Sort=A","Dates=H","DateFormat=P","Fill=—","Direction=H","UseDPDF=Y")</f>
        <v>0</v>
      </c>
      <c r="M49" s="13">
        <f>_xll.BDH("ALNY US Equity","CF_NET_CASH_DISCONTINUED_OPS_FIN","FQ3 2021","FQ3 2021","Currency=USD","Period=FQ","BEST_FPERIOD_OVERRIDE=FQ","FILING_STATUS=MR","SCALING_FORMAT=MLN","Sort=A","Dates=H","DateFormat=P","Fill=—","Direction=H","UseDPDF=Y")</f>
        <v>0</v>
      </c>
      <c r="N49" s="13">
        <f>_xll.BDH("ALNY US Equity","CF_NET_CASH_DISCONTINUED_OPS_FIN","FQ4 2021","FQ4 2021","Currency=USD","Period=FQ","BEST_FPERIOD_OVERRIDE=FQ","FILING_STATUS=MR","SCALING_FORMAT=MLN","Sort=A","Dates=H","DateFormat=P","Fill=—","Direction=H","UseDPDF=Y")</f>
        <v>0</v>
      </c>
      <c r="O49" s="13">
        <f>_xll.BDH("ALNY US Equity","CF_NET_CASH_DISCONTINUED_OPS_FIN","FQ1 2022","FQ1 2022","Currency=USD","Period=FQ","BEST_FPERIOD_OVERRIDE=FQ","FILING_STATUS=MR","SCALING_FORMAT=MLN","Sort=A","Dates=H","DateFormat=P","Fill=—","Direction=H","UseDPDF=Y")</f>
        <v>0</v>
      </c>
      <c r="P49" s="13">
        <f>_xll.BDH("ALNY US Equity","CF_NET_CASH_DISCONTINUED_OPS_FIN","FQ2 2022","FQ2 2022","Currency=USD","Period=FQ","BEST_FPERIOD_OVERRIDE=FQ","FILING_STATUS=MR","SCALING_FORMAT=MLN","Sort=A","Dates=H","DateFormat=P","Fill=—","Direction=H","UseDPDF=Y")</f>
        <v>0</v>
      </c>
      <c r="Q49" s="13">
        <f>_xll.BDH("ALNY US Equity","CF_NET_CASH_DISCONTINUED_OPS_FIN","FQ3 2022","FQ3 2022","Currency=USD","Period=FQ","BEST_FPERIOD_OVERRIDE=FQ","FILING_STATUS=MR","SCALING_FORMAT=MLN","Sort=A","Dates=H","DateFormat=P","Fill=—","Direction=H","UseDPDF=Y")</f>
        <v>0</v>
      </c>
      <c r="R49" s="13">
        <f>_xll.BDH("ALNY US Equity","CF_NET_CASH_DISCONTINUED_OPS_FIN","FQ4 2022","FQ4 2022","Currency=USD","Period=FQ","BEST_FPERIOD_OVERRIDE=FQ","FILING_STATUS=MR","SCALING_FORMAT=MLN","Sort=A","Dates=H","DateFormat=P","Fill=—","Direction=H","UseDPDF=Y")</f>
        <v>0</v>
      </c>
      <c r="S49" s="13">
        <f>_xll.BDH("ALNY US Equity","CF_NET_CASH_DISCONTINUED_OPS_FIN","FQ1 2023","FQ1 2023","Currency=USD","Period=FQ","BEST_FPERIOD_OVERRIDE=FQ","FILING_STATUS=MR","SCALING_FORMAT=MLN","Sort=A","Dates=H","DateFormat=P","Fill=—","Direction=H","UseDPDF=Y")</f>
        <v>0</v>
      </c>
      <c r="T49" s="13">
        <f>_xll.BDH("ALNY US Equity","CF_NET_CASH_DISCONTINUED_OPS_FIN","FQ2 2023","FQ2 2023","Currency=USD","Period=FQ","BEST_FPERIOD_OVERRIDE=FQ","FILING_STATUS=MR","SCALING_FORMAT=MLN","Sort=A","Dates=H","DateFormat=P","Fill=—","Direction=H","UseDPDF=Y")</f>
        <v>0</v>
      </c>
      <c r="U49" s="13">
        <f>_xll.BDH("ALNY US Equity","CF_NET_CASH_DISCONTINUED_OPS_FIN","FQ3 2023","FQ3 2023","Currency=USD","Period=FQ","BEST_FPERIOD_OVERRIDE=FQ","FILING_STATUS=MR","SCALING_FORMAT=MLN","Sort=A","Dates=H","DateFormat=P","Fill=—","Direction=H","UseDPDF=Y")</f>
        <v>0</v>
      </c>
      <c r="V49" s="13">
        <f>_xll.BDH("ALNY US Equity","CF_NET_CASH_DISCONTINUED_OPS_FIN","FQ4 2023","FQ4 2023","Currency=USD","Period=FQ","BEST_FPERIOD_OVERRIDE=FQ","FILING_STATUS=MR","SCALING_FORMAT=MLN","Sort=A","Dates=H","DateFormat=P","Fill=—","Direction=H","UseDPDF=Y")</f>
        <v>0</v>
      </c>
      <c r="W49" s="13">
        <f>_xll.BDH("ALNY US Equity","CF_NET_CASH_DISCONTINUED_OPS_FIN","FQ1 2024","FQ1 2024","Currency=USD","Period=FQ","BEST_FPERIOD_OVERRIDE=FQ","FILING_STATUS=MR","SCALING_FORMAT=MLN","Sort=A","Dates=H","DateFormat=P","Fill=—","Direction=H","UseDPDF=Y")</f>
        <v>0</v>
      </c>
      <c r="X49" s="13">
        <f>_xll.BDH("ALNY US Equity","CF_NET_CASH_DISCONTINUED_OPS_FIN","FQ2 2024","FQ2 2024","Currency=USD","Period=FQ","BEST_FPERIOD_OVERRIDE=FQ","FILING_STATUS=MR","SCALING_FORMAT=MLN","Sort=A","Dates=H","DateFormat=P","Fill=—","Direction=H","UseDPDF=Y")</f>
        <v>0</v>
      </c>
      <c r="Y49" s="13">
        <f>_xll.BDH("ALNY US Equity","CF_NET_CASH_DISCONTINUED_OPS_FIN","FQ3 2024","FQ3 2024","Currency=USD","Period=FQ","BEST_FPERIOD_OVERRIDE=FQ","FILING_STATUS=MR","SCALING_FORMAT=MLN","Sort=A","Dates=H","DateFormat=P","Fill=—","Direction=H","UseDPDF=Y")</f>
        <v>0</v>
      </c>
      <c r="Z49" s="13">
        <f>_xll.BDH("ALNY US Equity","CF_NET_CASH_DISCONTINUED_OPS_FIN","FQ4 2024","FQ4 2024","Currency=USD","Period=FQ","BEST_FPERIOD_OVERRIDE=FQ","FILING_STATUS=MR","SCALING_FORMAT=MLN","Sort=A","Dates=H","DateFormat=P","Fill=—","Direction=H","UseDPDF=Y")</f>
        <v>0</v>
      </c>
    </row>
    <row r="50" spans="1:26" x14ac:dyDescent="0.25">
      <c r="A50" s="6" t="s">
        <v>395</v>
      </c>
      <c r="B50" s="6" t="s">
        <v>415</v>
      </c>
      <c r="C50" s="16">
        <f>_xll.BDH("ALNY US Equity","CFF_ACTIVITIES_DETAILED","FQ1 2019","FQ1 2019","Currency=USD","Period=FQ","BEST_FPERIOD_OVERRIDE=FQ","FILING_STATUS=MR","SCALING_FORMAT=MLN","Sort=A","Dates=H","DateFormat=P","Fill=—","Direction=H","UseDPDF=Y")</f>
        <v>390.93099999999998</v>
      </c>
      <c r="D50" s="16">
        <f>_xll.BDH("ALNY US Equity","CFF_ACTIVITIES_DETAILED","FQ2 2019","FQ2 2019","Currency=USD","Period=FQ","BEST_FPERIOD_OVERRIDE=FQ","FILING_STATUS=MR","SCALING_FORMAT=MLN","Sort=A","Dates=H","DateFormat=P","Fill=—","Direction=H","UseDPDF=Y")</f>
        <v>412.61</v>
      </c>
      <c r="E50" s="16">
        <f>_xll.BDH("ALNY US Equity","CFF_ACTIVITIES_DETAILED","FQ3 2019","FQ3 2019","Currency=USD","Period=FQ","BEST_FPERIOD_OVERRIDE=FQ","FILING_STATUS=MR","SCALING_FORMAT=MLN","Sort=A","Dates=H","DateFormat=P","Fill=—","Direction=H","UseDPDF=Y")</f>
        <v>-20.699000000000002</v>
      </c>
      <c r="F50" s="16">
        <f>_xll.BDH("ALNY US Equity","CFF_ACTIVITIES_DETAILED","FQ4 2019","FQ4 2019","Currency=USD","Period=FQ","BEST_FPERIOD_OVERRIDE=FQ","FILING_STATUS=MR","SCALING_FORMAT=MLN","Sort=A","Dates=H","DateFormat=P","Fill=—","Direction=H","UseDPDF=Y")</f>
        <v>40.341999999999999</v>
      </c>
      <c r="G50" s="16">
        <f>_xll.BDH("ALNY US Equity","CFF_ACTIVITIES_DETAILED","FQ1 2020","FQ1 2020","Currency=USD","Period=FQ","BEST_FPERIOD_OVERRIDE=FQ","FILING_STATUS=MR","SCALING_FORMAT=MLN","Sort=A","Dates=H","DateFormat=P","Fill=—","Direction=H","UseDPDF=Y")</f>
        <v>53.869</v>
      </c>
      <c r="H50" s="16">
        <f>_xll.BDH("ALNY US Equity","CFF_ACTIVITIES_DETAILED","FQ2 2020","FQ2 2020","Currency=USD","Period=FQ","BEST_FPERIOD_OVERRIDE=FQ","FILING_STATUS=MR","SCALING_FORMAT=MLN","Sort=A","Dates=H","DateFormat=P","Fill=—","Direction=H","UseDPDF=Y")</f>
        <v>689.01300000000003</v>
      </c>
      <c r="I50" s="16">
        <f>_xll.BDH("ALNY US Equity","CFF_ACTIVITIES_DETAILED","FQ3 2020","FQ3 2020","Currency=USD","Period=FQ","BEST_FPERIOD_OVERRIDE=FQ","FILING_STATUS=MR","SCALING_FORMAT=MLN","Sort=A","Dates=H","DateFormat=P","Fill=—","Direction=H","UseDPDF=Y")</f>
        <v>34.146999999999998</v>
      </c>
      <c r="J50" s="16">
        <f>_xll.BDH("ALNY US Equity","CFF_ACTIVITIES_DETAILED","FQ4 2020","FQ4 2020","Currency=USD","Period=FQ","BEST_FPERIOD_OVERRIDE=FQ","FILING_STATUS=MR","SCALING_FORMAT=MLN","Sort=A","Dates=H","DateFormat=P","Fill=—","Direction=H","UseDPDF=Y")</f>
        <v>217.95</v>
      </c>
      <c r="K50" s="16">
        <f>_xll.BDH("ALNY US Equity","CFF_ACTIVITIES_DETAILED","FQ1 2021","FQ1 2021","Currency=USD","Period=FQ","BEST_FPERIOD_OVERRIDE=FQ","FILING_STATUS=MR","SCALING_FORMAT=MLN","Sort=A","Dates=H","DateFormat=P","Fill=—","Direction=H","UseDPDF=Y")</f>
        <v>51.177</v>
      </c>
      <c r="L50" s="16">
        <f>_xll.BDH("ALNY US Equity","CFF_ACTIVITIES_DETAILED","FQ2 2021","FQ2 2021","Currency=USD","Period=FQ","BEST_FPERIOD_OVERRIDE=FQ","FILING_STATUS=MR","SCALING_FORMAT=MLN","Sort=A","Dates=H","DateFormat=P","Fill=—","Direction=H","UseDPDF=Y")</f>
        <v>329.81099999999998</v>
      </c>
      <c r="M50" s="16">
        <f>_xll.BDH("ALNY US Equity","CFF_ACTIVITIES_DETAILED","FQ3 2021","FQ3 2021","Currency=USD","Period=FQ","BEST_FPERIOD_OVERRIDE=FQ","FILING_STATUS=MR","SCALING_FORMAT=MLN","Sort=A","Dates=H","DateFormat=P","Fill=—","Direction=H","UseDPDF=Y")</f>
        <v>573.83900000000006</v>
      </c>
      <c r="N50" s="16">
        <f>_xll.BDH("ALNY US Equity","CFF_ACTIVITIES_DETAILED","FQ4 2021","FQ4 2021","Currency=USD","Period=FQ","BEST_FPERIOD_OVERRIDE=FQ","FILING_STATUS=MR","SCALING_FORMAT=MLN","Sort=A","Dates=H","DateFormat=P","Fill=—","Direction=H","UseDPDF=Y")</f>
        <v>292.291</v>
      </c>
      <c r="O50" s="16">
        <f>_xll.BDH("ALNY US Equity","CFF_ACTIVITIES_DETAILED","FQ1 2022","FQ1 2022","Currency=USD","Period=FQ","BEST_FPERIOD_OVERRIDE=FQ","FILING_STATUS=MR","SCALING_FORMAT=MLN","Sort=A","Dates=H","DateFormat=P","Fill=—","Direction=H","UseDPDF=Y")</f>
        <v>34.956000000000003</v>
      </c>
      <c r="P50" s="16">
        <f>_xll.BDH("ALNY US Equity","CFF_ACTIVITIES_DETAILED","FQ2 2022","FQ2 2022","Currency=USD","Period=FQ","BEST_FPERIOD_OVERRIDE=FQ","FILING_STATUS=MR","SCALING_FORMAT=MLN","Sort=A","Dates=H","DateFormat=P","Fill=—","Direction=H","UseDPDF=Y")</f>
        <v>30.337</v>
      </c>
      <c r="Q50" s="16">
        <f>_xll.BDH("ALNY US Equity","CFF_ACTIVITIES_DETAILED","FQ3 2022","FQ3 2022","Currency=USD","Period=FQ","BEST_FPERIOD_OVERRIDE=FQ","FILING_STATUS=MR","SCALING_FORMAT=MLN","Sort=A","Dates=H","DateFormat=P","Fill=—","Direction=H","UseDPDF=Y")</f>
        <v>297.02300000000002</v>
      </c>
      <c r="R50" s="16">
        <f>_xll.BDH("ALNY US Equity","CFF_ACTIVITIES_DETAILED","FQ4 2022","FQ4 2022","Currency=USD","Period=FQ","BEST_FPERIOD_OVERRIDE=FQ","FILING_STATUS=MR","SCALING_FORMAT=MLN","Sort=A","Dates=H","DateFormat=P","Fill=—","Direction=H","UseDPDF=Y")</f>
        <v>63.436999999999998</v>
      </c>
      <c r="S50" s="16">
        <f>_xll.BDH("ALNY US Equity","CFF_ACTIVITIES_DETAILED","FQ1 2023","FQ1 2023","Currency=USD","Period=FQ","BEST_FPERIOD_OVERRIDE=FQ","FILING_STATUS=MR","SCALING_FORMAT=MLN","Sort=A","Dates=H","DateFormat=P","Fill=—","Direction=H","UseDPDF=Y")</f>
        <v>46.371000000000002</v>
      </c>
      <c r="T50" s="16">
        <f>_xll.BDH("ALNY US Equity","CFF_ACTIVITIES_DETAILED","FQ2 2023","FQ2 2023","Currency=USD","Period=FQ","BEST_FPERIOD_OVERRIDE=FQ","FILING_STATUS=MR","SCALING_FORMAT=MLN","Sort=A","Dates=H","DateFormat=P","Fill=—","Direction=H","UseDPDF=Y")</f>
        <v>53.393999999999998</v>
      </c>
      <c r="U50" s="16">
        <f>_xll.BDH("ALNY US Equity","CFF_ACTIVITIES_DETAILED","FQ3 2023","FQ3 2023","Currency=USD","Period=FQ","BEST_FPERIOD_OVERRIDE=FQ","FILING_STATUS=MR","SCALING_FORMAT=MLN","Sort=A","Dates=H","DateFormat=P","Fill=—","Direction=H","UseDPDF=Y")</f>
        <v>33.137999999999998</v>
      </c>
      <c r="V50" s="16">
        <f>_xll.BDH("ALNY US Equity","CFF_ACTIVITIES_DETAILED","FQ4 2023","FQ4 2023","Currency=USD","Period=FQ","BEST_FPERIOD_OVERRIDE=FQ","FILING_STATUS=MR","SCALING_FORMAT=MLN","Sort=A","Dates=H","DateFormat=P","Fill=—","Direction=H","UseDPDF=Y")</f>
        <v>39.228000000000002</v>
      </c>
      <c r="W50" s="16">
        <f>_xll.BDH("ALNY US Equity","CFF_ACTIVITIES_DETAILED","FQ1 2024","FQ1 2024","Currency=USD","Period=FQ","BEST_FPERIOD_OVERRIDE=FQ","FILING_STATUS=MR","SCALING_FORMAT=MLN","Sort=A","Dates=H","DateFormat=P","Fill=—","Direction=H","UseDPDF=Y")</f>
        <v>28.911000000000001</v>
      </c>
      <c r="X50" s="16">
        <f>_xll.BDH("ALNY US Equity","CFF_ACTIVITIES_DETAILED","FQ2 2024","FQ2 2024","Currency=USD","Period=FQ","BEST_FPERIOD_OVERRIDE=FQ","FILING_STATUS=MR","SCALING_FORMAT=MLN","Sort=A","Dates=H","DateFormat=P","Fill=—","Direction=H","UseDPDF=Y")</f>
        <v>131.49600000000001</v>
      </c>
      <c r="Y50" s="16">
        <f>_xll.BDH("ALNY US Equity","CFF_ACTIVITIES_DETAILED","FQ3 2024","FQ3 2024","Currency=USD","Period=FQ","BEST_FPERIOD_OVERRIDE=FQ","FILING_STATUS=MR","SCALING_FORMAT=MLN","Sort=A","Dates=H","DateFormat=P","Fill=—","Direction=H","UseDPDF=Y")</f>
        <v>102.755</v>
      </c>
      <c r="Z50" s="16">
        <f>_xll.BDH("ALNY US Equity","CFF_ACTIVITIES_DETAILED","FQ4 2024","FQ4 2024","Currency=USD","Period=FQ","BEST_FPERIOD_OVERRIDE=FQ","FILING_STATUS=MR","SCALING_FORMAT=MLN","Sort=A","Dates=H","DateFormat=P","Fill=—","Direction=H","UseDPDF=Y")</f>
        <v>30.997</v>
      </c>
    </row>
    <row r="51" spans="1:26" x14ac:dyDescent="0.25">
      <c r="A51" s="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0" t="s">
        <v>416</v>
      </c>
      <c r="B52" s="10" t="s">
        <v>417</v>
      </c>
      <c r="C52" s="13">
        <f>_xll.BDH("ALNY US Equity","CF_EFFECT_FOREIGN_EXCHANGES","FQ1 2019","FQ1 2019","Currency=USD","Period=FQ","BEST_FPERIOD_OVERRIDE=FQ","FILING_STATUS=MR","SCALING_FORMAT=MLN","Sort=A","Dates=H","DateFormat=P","Fill=—","Direction=H","UseDPDF=Y")</f>
        <v>0</v>
      </c>
      <c r="D52" s="13">
        <f>_xll.BDH("ALNY US Equity","CF_EFFECT_FOREIGN_EXCHANGES","FQ2 2019","FQ2 2019","Currency=USD","Period=FQ","BEST_FPERIOD_OVERRIDE=FQ","FILING_STATUS=MR","SCALING_FORMAT=MLN","Sort=A","Dates=H","DateFormat=P","Fill=—","Direction=H","UseDPDF=Y")</f>
        <v>-3.0000000000000001E-3</v>
      </c>
      <c r="E52" s="13">
        <f>_xll.BDH("ALNY US Equity","CF_EFFECT_FOREIGN_EXCHANGES","FQ3 2019","FQ3 2019","Currency=USD","Period=FQ","BEST_FPERIOD_OVERRIDE=FQ","FILING_STATUS=MR","SCALING_FORMAT=MLN","Sort=A","Dates=H","DateFormat=P","Fill=—","Direction=H","UseDPDF=Y")</f>
        <v>-0.44600000000000001</v>
      </c>
      <c r="F52" s="13">
        <f>_xll.BDH("ALNY US Equity","CF_EFFECT_FOREIGN_EXCHANGES","FQ4 2019","FQ4 2019","Currency=USD","Period=FQ","BEST_FPERIOD_OVERRIDE=FQ","FILING_STATUS=MR","SCALING_FORMAT=MLN","Sort=A","Dates=H","DateFormat=P","Fill=—","Direction=H","UseDPDF=Y")</f>
        <v>0.36599999999999999</v>
      </c>
      <c r="G52" s="13">
        <f>_xll.BDH("ALNY US Equity","CF_EFFECT_FOREIGN_EXCHANGES","FQ1 2020","FQ1 2020","Currency=USD","Period=FQ","BEST_FPERIOD_OVERRIDE=FQ","FILING_STATUS=MR","SCALING_FORMAT=MLN","Sort=A","Dates=H","DateFormat=P","Fill=—","Direction=H","UseDPDF=Y")</f>
        <v>-0.63100000000000001</v>
      </c>
      <c r="H52" s="13">
        <f>_xll.BDH("ALNY US Equity","CF_EFFECT_FOREIGN_EXCHANGES","FQ2 2020","FQ2 2020","Currency=USD","Period=FQ","BEST_FPERIOD_OVERRIDE=FQ","FILING_STATUS=MR","SCALING_FORMAT=MLN","Sort=A","Dates=H","DateFormat=P","Fill=—","Direction=H","UseDPDF=Y")</f>
        <v>0.435</v>
      </c>
      <c r="I52" s="13">
        <f>_xll.BDH("ALNY US Equity","CF_EFFECT_FOREIGN_EXCHANGES","FQ3 2020","FQ3 2020","Currency=USD","Period=FQ","BEST_FPERIOD_OVERRIDE=FQ","FILING_STATUS=MR","SCALING_FORMAT=MLN","Sort=A","Dates=H","DateFormat=P","Fill=—","Direction=H","UseDPDF=Y")</f>
        <v>2.1419999999999999</v>
      </c>
      <c r="J52" s="13">
        <f>_xll.BDH("ALNY US Equity","CF_EFFECT_FOREIGN_EXCHANGES","FQ4 2020","FQ4 2020","Currency=USD","Period=FQ","BEST_FPERIOD_OVERRIDE=FQ","FILING_STATUS=MR","SCALING_FORMAT=MLN","Sort=A","Dates=H","DateFormat=P","Fill=—","Direction=H","UseDPDF=Y")</f>
        <v>2.972</v>
      </c>
      <c r="K52" s="13">
        <f>_xll.BDH("ALNY US Equity","CF_EFFECT_FOREIGN_EXCHANGES","FQ1 2021","FQ1 2021","Currency=USD","Period=FQ","BEST_FPERIOD_OVERRIDE=FQ","FILING_STATUS=MR","SCALING_FORMAT=MLN","Sort=A","Dates=H","DateFormat=P","Fill=—","Direction=H","UseDPDF=Y")</f>
        <v>-3.91</v>
      </c>
      <c r="L52" s="13">
        <f>_xll.BDH("ALNY US Equity","CF_EFFECT_FOREIGN_EXCHANGES","FQ2 2021","FQ2 2021","Currency=USD","Period=FQ","BEST_FPERIOD_OVERRIDE=FQ","FILING_STATUS=MR","SCALING_FORMAT=MLN","Sort=A","Dates=H","DateFormat=P","Fill=—","Direction=H","UseDPDF=Y")</f>
        <v>1.081</v>
      </c>
      <c r="M52" s="13">
        <f>_xll.BDH("ALNY US Equity","CF_EFFECT_FOREIGN_EXCHANGES","FQ3 2021","FQ3 2021","Currency=USD","Period=FQ","BEST_FPERIOD_OVERRIDE=FQ","FILING_STATUS=MR","SCALING_FORMAT=MLN","Sort=A","Dates=H","DateFormat=P","Fill=—","Direction=H","UseDPDF=Y")</f>
        <v>-3.1389999999999998</v>
      </c>
      <c r="N52" s="13">
        <f>_xll.BDH("ALNY US Equity","CF_EFFECT_FOREIGN_EXCHANGES","FQ4 2021","FQ4 2021","Currency=USD","Period=FQ","BEST_FPERIOD_OVERRIDE=FQ","FILING_STATUS=MR","SCALING_FORMAT=MLN","Sort=A","Dates=H","DateFormat=P","Fill=—","Direction=H","UseDPDF=Y")</f>
        <v>-3.05</v>
      </c>
      <c r="O52" s="13">
        <f>_xll.BDH("ALNY US Equity","CF_EFFECT_FOREIGN_EXCHANGES","FQ1 2022","FQ1 2022","Currency=USD","Period=FQ","BEST_FPERIOD_OVERRIDE=FQ","FILING_STATUS=MR","SCALING_FORMAT=MLN","Sort=A","Dates=H","DateFormat=P","Fill=—","Direction=H","UseDPDF=Y")</f>
        <v>-2.238</v>
      </c>
      <c r="P52" s="13">
        <f>_xll.BDH("ALNY US Equity","CF_EFFECT_FOREIGN_EXCHANGES","FQ2 2022","FQ2 2022","Currency=USD","Period=FQ","BEST_FPERIOD_OVERRIDE=FQ","FILING_STATUS=MR","SCALING_FORMAT=MLN","Sort=A","Dates=H","DateFormat=P","Fill=—","Direction=H","UseDPDF=Y")</f>
        <v>-8.8350000000000009</v>
      </c>
      <c r="Q52" s="13">
        <f>_xll.BDH("ALNY US Equity","CF_EFFECT_FOREIGN_EXCHANGES","FQ3 2022","FQ3 2022","Currency=USD","Period=FQ","BEST_FPERIOD_OVERRIDE=FQ","FILING_STATUS=MR","SCALING_FORMAT=MLN","Sort=A","Dates=H","DateFormat=P","Fill=—","Direction=H","UseDPDF=Y")</f>
        <v>2.024</v>
      </c>
      <c r="R52" s="13">
        <f>_xll.BDH("ALNY US Equity","CF_EFFECT_FOREIGN_EXCHANGES","FQ4 2022","FQ4 2022","Currency=USD","Period=FQ","BEST_FPERIOD_OVERRIDE=FQ","FILING_STATUS=MR","SCALING_FORMAT=MLN","Sort=A","Dates=H","DateFormat=P","Fill=—","Direction=H","UseDPDF=Y")</f>
        <v>1.619</v>
      </c>
      <c r="S52" s="13">
        <f>_xll.BDH("ALNY US Equity","CF_EFFECT_FOREIGN_EXCHANGES","FQ1 2023","FQ1 2023","Currency=USD","Period=FQ","BEST_FPERIOD_OVERRIDE=FQ","FILING_STATUS=MR","SCALING_FORMAT=MLN","Sort=A","Dates=H","DateFormat=P","Fill=—","Direction=H","UseDPDF=Y")</f>
        <v>2.1760000000000002</v>
      </c>
      <c r="T52" s="13">
        <f>_xll.BDH("ALNY US Equity","CF_EFFECT_FOREIGN_EXCHANGES","FQ2 2023","FQ2 2023","Currency=USD","Period=FQ","BEST_FPERIOD_OVERRIDE=FQ","FILING_STATUS=MR","SCALING_FORMAT=MLN","Sort=A","Dates=H","DateFormat=P","Fill=—","Direction=H","UseDPDF=Y")</f>
        <v>-0.13</v>
      </c>
      <c r="U52" s="13">
        <f>_xll.BDH("ALNY US Equity","CF_EFFECT_FOREIGN_EXCHANGES","FQ3 2023","FQ3 2023","Currency=USD","Period=FQ","BEST_FPERIOD_OVERRIDE=FQ","FILING_STATUS=MR","SCALING_FORMAT=MLN","Sort=A","Dates=H","DateFormat=P","Fill=—","Direction=H","UseDPDF=Y")</f>
        <v>-6.5519999999999996</v>
      </c>
      <c r="V52" s="13">
        <f>_xll.BDH("ALNY US Equity","CF_EFFECT_FOREIGN_EXCHANGES","FQ4 2023","FQ4 2023","Currency=USD","Period=FQ","BEST_FPERIOD_OVERRIDE=FQ","FILING_STATUS=MR","SCALING_FORMAT=MLN","Sort=A","Dates=H","DateFormat=P","Fill=—","Direction=H","UseDPDF=Y")</f>
        <v>10.897</v>
      </c>
      <c r="W52" s="13">
        <f>_xll.BDH("ALNY US Equity","CF_EFFECT_FOREIGN_EXCHANGES","FQ1 2024","FQ1 2024","Currency=USD","Period=FQ","BEST_FPERIOD_OVERRIDE=FQ","FILING_STATUS=MR","SCALING_FORMAT=MLN","Sort=A","Dates=H","DateFormat=P","Fill=—","Direction=H","UseDPDF=Y")</f>
        <v>-9.9410000000000007</v>
      </c>
      <c r="X52" s="13">
        <f>_xll.BDH("ALNY US Equity","CF_EFFECT_FOREIGN_EXCHANGES","FQ2 2024","FQ2 2024","Currency=USD","Period=FQ","BEST_FPERIOD_OVERRIDE=FQ","FILING_STATUS=MR","SCALING_FORMAT=MLN","Sort=A","Dates=H","DateFormat=P","Fill=—","Direction=H","UseDPDF=Y")</f>
        <v>-3.12</v>
      </c>
      <c r="Y52" s="13">
        <f>_xll.BDH("ALNY US Equity","CF_EFFECT_FOREIGN_EXCHANGES","FQ3 2024","FQ3 2024","Currency=USD","Period=FQ","BEST_FPERIOD_OVERRIDE=FQ","FILING_STATUS=MR","SCALING_FORMAT=MLN","Sort=A","Dates=H","DateFormat=P","Fill=—","Direction=H","UseDPDF=Y")</f>
        <v>15.093</v>
      </c>
      <c r="Z52" s="13">
        <f>_xll.BDH("ALNY US Equity","CF_EFFECT_FOREIGN_EXCHANGES","FQ4 2024","FQ4 2024","Currency=USD","Period=FQ","BEST_FPERIOD_OVERRIDE=FQ","FILING_STATUS=MR","SCALING_FORMAT=MLN","Sort=A","Dates=H","DateFormat=P","Fill=—","Direction=H","UseDPDF=Y")</f>
        <v>-17.271000000000001</v>
      </c>
    </row>
    <row r="53" spans="1:26" x14ac:dyDescent="0.25">
      <c r="A53" s="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6" t="s">
        <v>418</v>
      </c>
      <c r="B54" s="6" t="s">
        <v>419</v>
      </c>
      <c r="C54" s="16">
        <f>_xll.BDH("ALNY US Equity","CF_NET_CHNG_CASH","FQ1 2019","FQ1 2019","Currency=USD","Period=FQ","BEST_FPERIOD_OVERRIDE=FQ","FILING_STATUS=MR","SCALING_FORMAT=MLN","Sort=A","Dates=H","DateFormat=P","Fill=—","Direction=H","UseDPDF=Y")</f>
        <v>305.07299999999998</v>
      </c>
      <c r="D54" s="16">
        <f>_xll.BDH("ALNY US Equity","CF_NET_CHNG_CASH","FQ2 2019","FQ2 2019","Currency=USD","Period=FQ","BEST_FPERIOD_OVERRIDE=FQ","FILING_STATUS=MR","SCALING_FORMAT=MLN","Sort=A","Dates=H","DateFormat=P","Fill=—","Direction=H","UseDPDF=Y")</f>
        <v>411.9</v>
      </c>
      <c r="E54" s="16">
        <f>_xll.BDH("ALNY US Equity","CF_NET_CHNG_CASH","FQ3 2019","FQ3 2019","Currency=USD","Period=FQ","BEST_FPERIOD_OVERRIDE=FQ","FILING_STATUS=MR","SCALING_FORMAT=MLN","Sort=A","Dates=H","DateFormat=P","Fill=—","Direction=H","UseDPDF=Y")</f>
        <v>-213.85400000000001</v>
      </c>
      <c r="F54" s="16">
        <f>_xll.BDH("ALNY US Equity","CF_NET_CHNG_CASH","FQ4 2019","FQ4 2019","Currency=USD","Period=FQ","BEST_FPERIOD_OVERRIDE=FQ","FILING_STATUS=MR","SCALING_FORMAT=MLN","Sort=A","Dates=H","DateFormat=P","Fill=—","Direction=H","UseDPDF=Y")</f>
        <v>-376.12200000000001</v>
      </c>
      <c r="G54" s="16">
        <f>_xll.BDH("ALNY US Equity","CF_NET_CHNG_CASH","FQ1 2020","FQ1 2020","Currency=USD","Period=FQ","BEST_FPERIOD_OVERRIDE=FQ","FILING_STATUS=MR","SCALING_FORMAT=MLN","Sort=A","Dates=H","DateFormat=P","Fill=—","Direction=H","UseDPDF=Y")</f>
        <v>-79.234999999999999</v>
      </c>
      <c r="H54" s="16">
        <f>_xll.BDH("ALNY US Equity","CF_NET_CHNG_CASH","FQ2 2020","FQ2 2020","Currency=USD","Period=FQ","BEST_FPERIOD_OVERRIDE=FQ","FILING_STATUS=MR","SCALING_FORMAT=MLN","Sort=A","Dates=H","DateFormat=P","Fill=—","Direction=H","UseDPDF=Y")</f>
        <v>112.88800000000001</v>
      </c>
      <c r="I54" s="16">
        <f>_xll.BDH("ALNY US Equity","CF_NET_CHNG_CASH","FQ3 2020","FQ3 2020","Currency=USD","Period=FQ","BEST_FPERIOD_OVERRIDE=FQ","FILING_STATUS=MR","SCALING_FORMAT=MLN","Sort=A","Dates=H","DateFormat=P","Fill=—","Direction=H","UseDPDF=Y")</f>
        <v>-84.125</v>
      </c>
      <c r="J54" s="16">
        <f>_xll.BDH("ALNY US Equity","CF_NET_CHNG_CASH","FQ4 2020","FQ4 2020","Currency=USD","Period=FQ","BEST_FPERIOD_OVERRIDE=FQ","FILING_STATUS=MR","SCALING_FORMAT=MLN","Sort=A","Dates=H","DateFormat=P","Fill=—","Direction=H","UseDPDF=Y")</f>
        <v>-0.11</v>
      </c>
      <c r="K54" s="16">
        <f>_xll.BDH("ALNY US Equity","CF_NET_CHNG_CASH","FQ1 2021","FQ1 2021","Currency=USD","Period=FQ","BEST_FPERIOD_OVERRIDE=FQ","FILING_STATUS=MR","SCALING_FORMAT=MLN","Sort=A","Dates=H","DateFormat=P","Fill=—","Direction=H","UseDPDF=Y")</f>
        <v>-117.041</v>
      </c>
      <c r="L54" s="16">
        <f>_xll.BDH("ALNY US Equity","CF_NET_CHNG_CASH","FQ2 2021","FQ2 2021","Currency=USD","Period=FQ","BEST_FPERIOD_OVERRIDE=FQ","FILING_STATUS=MR","SCALING_FORMAT=MLN","Sort=A","Dates=H","DateFormat=P","Fill=—","Direction=H","UseDPDF=Y")</f>
        <v>366.06</v>
      </c>
      <c r="M54" s="16">
        <f>_xll.BDH("ALNY US Equity","CF_NET_CHNG_CASH","FQ3 2021","FQ3 2021","Currency=USD","Period=FQ","BEST_FPERIOD_OVERRIDE=FQ","FILING_STATUS=MR","SCALING_FORMAT=MLN","Sort=A","Dates=H","DateFormat=P","Fill=—","Direction=H","UseDPDF=Y")</f>
        <v>348.39299999999997</v>
      </c>
      <c r="N54" s="16">
        <f>_xll.BDH("ALNY US Equity","CF_NET_CHNG_CASH","FQ4 2021","FQ4 2021","Currency=USD","Period=FQ","BEST_FPERIOD_OVERRIDE=FQ","FILING_STATUS=MR","SCALING_FORMAT=MLN","Sort=A","Dates=H","DateFormat=P","Fill=—","Direction=H","UseDPDF=Y")</f>
        <v>-274.30500000000001</v>
      </c>
      <c r="O54" s="16">
        <f>_xll.BDH("ALNY US Equity","CF_NET_CHNG_CASH","FQ1 2022","FQ1 2022","Currency=USD","Period=FQ","BEST_FPERIOD_OVERRIDE=FQ","FILING_STATUS=MR","SCALING_FORMAT=MLN","Sort=A","Dates=H","DateFormat=P","Fill=—","Direction=H","UseDPDF=Y")</f>
        <v>-285.89400000000001</v>
      </c>
      <c r="P54" s="16">
        <f>_xll.BDH("ALNY US Equity","CF_NET_CHNG_CASH","FQ2 2022","FQ2 2022","Currency=USD","Period=FQ","BEST_FPERIOD_OVERRIDE=FQ","FILING_STATUS=MR","SCALING_FORMAT=MLN","Sort=A","Dates=H","DateFormat=P","Fill=—","Direction=H","UseDPDF=Y")</f>
        <v>41.475999999999999</v>
      </c>
      <c r="Q54" s="16">
        <f>_xll.BDH("ALNY US Equity","CF_NET_CHNG_CASH","FQ3 2022","FQ3 2022","Currency=USD","Period=FQ","BEST_FPERIOD_OVERRIDE=FQ","FILING_STATUS=MR","SCALING_FORMAT=MLN","Sort=A","Dates=H","DateFormat=P","Fill=—","Direction=H","UseDPDF=Y")</f>
        <v>497.654</v>
      </c>
      <c r="R54" s="16">
        <f>_xll.BDH("ALNY US Equity","CF_NET_CHNG_CASH","FQ4 2022","FQ4 2022","Currency=USD","Period=FQ","BEST_FPERIOD_OVERRIDE=FQ","FILING_STATUS=MR","SCALING_FORMAT=MLN","Sort=A","Dates=H","DateFormat=P","Fill=—","Direction=H","UseDPDF=Y")</f>
        <v>-206.833</v>
      </c>
      <c r="S54" s="16">
        <f>_xll.BDH("ALNY US Equity","CF_NET_CHNG_CASH","FQ1 2023","FQ1 2023","Currency=USD","Period=FQ","BEST_FPERIOD_OVERRIDE=FQ","FILING_STATUS=MR","SCALING_FORMAT=MLN","Sort=A","Dates=H","DateFormat=P","Fill=—","Direction=H","UseDPDF=Y")</f>
        <v>-194.14500000000001</v>
      </c>
      <c r="T54" s="16">
        <f>_xll.BDH("ALNY US Equity","CF_NET_CHNG_CASH","FQ2 2023","FQ2 2023","Currency=USD","Period=FQ","BEST_FPERIOD_OVERRIDE=FQ","FILING_STATUS=MR","SCALING_FORMAT=MLN","Sort=A","Dates=H","DateFormat=P","Fill=—","Direction=H","UseDPDF=Y")</f>
        <v>-14.435</v>
      </c>
      <c r="U54" s="16">
        <f>_xll.BDH("ALNY US Equity","CF_NET_CHNG_CASH","FQ3 2023","FQ3 2023","Currency=USD","Period=FQ","BEST_FPERIOD_OVERRIDE=FQ","FILING_STATUS=MR","SCALING_FORMAT=MLN","Sort=A","Dates=H","DateFormat=P","Fill=—","Direction=H","UseDPDF=Y")</f>
        <v>375.23399999999998</v>
      </c>
      <c r="V54" s="16">
        <f>_xll.BDH("ALNY US Equity","CF_NET_CHNG_CASH","FQ4 2023","FQ4 2023","Currency=USD","Period=FQ","BEST_FPERIOD_OVERRIDE=FQ","FILING_STATUS=MR","SCALING_FORMAT=MLN","Sort=A","Dates=H","DateFormat=P","Fill=—","Direction=H","UseDPDF=Y")</f>
        <v>-220.32599999999999</v>
      </c>
      <c r="W54" s="16">
        <f>_xll.BDH("ALNY US Equity","CF_NET_CHNG_CASH","FQ1 2024","FQ1 2024","Currency=USD","Period=FQ","BEST_FPERIOD_OVERRIDE=FQ","FILING_STATUS=MR","SCALING_FORMAT=MLN","Sort=A","Dates=H","DateFormat=P","Fill=—","Direction=H","UseDPDF=Y")</f>
        <v>-130.16499999999999</v>
      </c>
      <c r="X54" s="16">
        <f>_xll.BDH("ALNY US Equity","CF_NET_CHNG_CASH","FQ2 2024","FQ2 2024","Currency=USD","Period=FQ","BEST_FPERIOD_OVERRIDE=FQ","FILING_STATUS=MR","SCALING_FORMAT=MLN","Sort=A","Dates=H","DateFormat=P","Fill=—","Direction=H","UseDPDF=Y")</f>
        <v>286.47399999999999</v>
      </c>
      <c r="Y54" s="16">
        <f>_xll.BDH("ALNY US Equity","CF_NET_CHNG_CASH","FQ3 2024","FQ3 2024","Currency=USD","Period=FQ","BEST_FPERIOD_OVERRIDE=FQ","FILING_STATUS=MR","SCALING_FORMAT=MLN","Sort=A","Dates=H","DateFormat=P","Fill=—","Direction=H","UseDPDF=Y")</f>
        <v>131.30500000000001</v>
      </c>
      <c r="Z54" s="16">
        <f>_xll.BDH("ALNY US Equity","CF_NET_CHNG_CASH","FQ4 2024","FQ4 2024","Currency=USD","Period=FQ","BEST_FPERIOD_OVERRIDE=FQ","FILING_STATUS=MR","SCALING_FORMAT=MLN","Sort=A","Dates=H","DateFormat=P","Fill=—","Direction=H","UseDPDF=Y")</f>
        <v>-133.846</v>
      </c>
    </row>
    <row r="55" spans="1:26" x14ac:dyDescent="0.25">
      <c r="A55" s="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6" t="s">
        <v>2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0" t="s">
        <v>151</v>
      </c>
      <c r="B58" s="10" t="s">
        <v>151</v>
      </c>
      <c r="C58" s="13">
        <f>_xll.BDH("ALNY US Equity","EBITDA","FQ1 2019","FQ1 2019","Currency=USD","Period=FQ","BEST_FPERIOD_OVERRIDE=FQ","FILING_STATUS=MR","SCALING_FORMAT=MLN","FA_ADJUSTED=GAAP","Sort=A","Dates=H","DateFormat=P","Fill=—","Direction=H","UseDPDF=Y")</f>
        <v>-167.28800000000001</v>
      </c>
      <c r="D58" s="13">
        <f>_xll.BDH("ALNY US Equity","EBITDA","FQ2 2019","FQ2 2019","Currency=USD","Period=FQ","BEST_FPERIOD_OVERRIDE=FQ","FILING_STATUS=MR","SCALING_FORMAT=MLN","FA_ADJUSTED=GAAP","Sort=A","Dates=H","DateFormat=P","Fill=—","Direction=H","UseDPDF=Y")</f>
        <v>-217.23500000000001</v>
      </c>
      <c r="E58" s="13">
        <f>_xll.BDH("ALNY US Equity","EBITDA","FQ3 2019","FQ3 2019","Currency=USD","Period=FQ","BEST_FPERIOD_OVERRIDE=FQ","FILING_STATUS=MR","SCALING_FORMAT=MLN","FA_ADJUSTED=GAAP","Sort=A","Dates=H","DateFormat=P","Fill=—","Direction=H","UseDPDF=Y")</f>
        <v>-189.36600000000001</v>
      </c>
      <c r="F58" s="13">
        <f>_xll.BDH("ALNY US Equity","EBITDA","FQ4 2019","FQ4 2019","Currency=USD","Period=FQ","BEST_FPERIOD_OVERRIDE=FQ","FILING_STATUS=MR","SCALING_FORMAT=MLN","FA_ADJUSTED=GAAP","Sort=A","Dates=H","DateFormat=P","Fill=—","Direction=H","UseDPDF=Y")</f>
        <v>-272.56099999999998</v>
      </c>
      <c r="G58" s="13">
        <f>_xll.BDH("ALNY US Equity","EBITDA","FQ1 2020","FQ1 2020","Currency=USD","Period=FQ","BEST_FPERIOD_OVERRIDE=FQ","FILING_STATUS=MR","SCALING_FORMAT=MLN","FA_ADJUSTED=GAAP","Sort=A","Dates=H","DateFormat=P","Fill=—","Direction=H","UseDPDF=Y")</f>
        <v>-193.15199999999999</v>
      </c>
      <c r="H58" s="13">
        <f>_xll.BDH("ALNY US Equity","EBITDA","FQ2 2020","FQ2 2020","Currency=USD","Period=FQ","BEST_FPERIOD_OVERRIDE=FQ","FILING_STATUS=MR","SCALING_FORMAT=MLN","FA_ADJUSTED=GAAP","Sort=A","Dates=H","DateFormat=P","Fill=—","Direction=H","UseDPDF=Y")</f>
        <v>-181.08099999999999</v>
      </c>
      <c r="I58" s="13">
        <f>_xll.BDH("ALNY US Equity","EBITDA","FQ3 2020","FQ3 2020","Currency=USD","Period=FQ","BEST_FPERIOD_OVERRIDE=FQ","FILING_STATUS=MR","SCALING_FORMAT=MLN","FA_ADJUSTED=GAAP","Sort=A","Dates=H","DateFormat=P","Fill=—","Direction=H","UseDPDF=Y")</f>
        <v>-206.428</v>
      </c>
      <c r="J58" s="13">
        <f>_xll.BDH("ALNY US Equity","EBITDA","FQ4 2020","FQ4 2020","Currency=USD","Period=FQ","BEST_FPERIOD_OVERRIDE=FQ","FILING_STATUS=MR","SCALING_FORMAT=MLN","FA_ADJUSTED=GAAP","Sort=A","Dates=H","DateFormat=P","Fill=—","Direction=H","UseDPDF=Y")</f>
        <v>-173.34200000000001</v>
      </c>
      <c r="K58" s="13">
        <f>_xll.BDH("ALNY US Equity","EBITDA","FQ1 2021","FQ1 2021","Currency=USD","Period=FQ","BEST_FPERIOD_OVERRIDE=FQ","FILING_STATUS=MR","SCALING_FORMAT=MLN","FA_ADJUSTED=GAAP","Sort=A","Dates=H","DateFormat=P","Fill=—","Direction=H","UseDPDF=Y")</f>
        <v>-163.392</v>
      </c>
      <c r="L58" s="13">
        <f>_xll.BDH("ALNY US Equity","EBITDA","FQ2 2021","FQ2 2021","Currency=USD","Period=FQ","BEST_FPERIOD_OVERRIDE=FQ","FILING_STATUS=MR","SCALING_FORMAT=MLN","FA_ADJUSTED=GAAP","Sort=A","Dates=H","DateFormat=P","Fill=—","Direction=H","UseDPDF=Y")</f>
        <v>-123.999</v>
      </c>
      <c r="M58" s="13">
        <f>_xll.BDH("ALNY US Equity","EBITDA","FQ3 2021","FQ3 2021","Currency=USD","Period=FQ","BEST_FPERIOD_OVERRIDE=FQ","FILING_STATUS=MR","SCALING_FORMAT=MLN","FA_ADJUSTED=GAAP","Sort=A","Dates=H","DateFormat=P","Fill=—","Direction=H","UseDPDF=Y")</f>
        <v>-158.45699999999999</v>
      </c>
      <c r="N58" s="13">
        <f>_xll.BDH("ALNY US Equity","EBITDA","FQ4 2021","FQ4 2021","Currency=USD","Period=FQ","BEST_FPERIOD_OVERRIDE=FQ","FILING_STATUS=MR","SCALING_FORMAT=MLN","FA_ADJUSTED=GAAP","Sort=A","Dates=H","DateFormat=P","Fill=—","Direction=H","UseDPDF=Y")</f>
        <v>-173.11</v>
      </c>
      <c r="O58" s="13">
        <f>_xll.BDH("ALNY US Equity","EBITDA","FQ1 2022","FQ1 2022","Currency=USD","Period=FQ","BEST_FPERIOD_OVERRIDE=FQ","FILING_STATUS=MR","SCALING_FORMAT=MLN","FA_ADJUSTED=GAAP","Sort=A","Dates=H","DateFormat=P","Fill=—","Direction=H","UseDPDF=Y")</f>
        <v>-126.95399999999999</v>
      </c>
      <c r="P58" s="13">
        <f>_xll.BDH("ALNY US Equity","EBITDA","FQ2 2022","FQ2 2022","Currency=USD","Period=FQ","BEST_FPERIOD_OVERRIDE=FQ","FILING_STATUS=MR","SCALING_FORMAT=MLN","FA_ADJUSTED=GAAP","Sort=A","Dates=H","DateFormat=P","Fill=—","Direction=H","UseDPDF=Y")</f>
        <v>-171.44900000000001</v>
      </c>
      <c r="Q58" s="13">
        <f>_xll.BDH("ALNY US Equity","EBITDA","FQ3 2022","FQ3 2022","Currency=USD","Period=FQ","BEST_FPERIOD_OVERRIDE=FQ","FILING_STATUS=MR","SCALING_FORMAT=MLN","FA_ADJUSTED=GAAP","Sort=A","Dates=H","DateFormat=P","Fill=—","Direction=H","UseDPDF=Y")</f>
        <v>-237.39</v>
      </c>
      <c r="R58" s="13">
        <f>_xll.BDH("ALNY US Equity","EBITDA","FQ4 2022","FQ4 2022","Currency=USD","Period=FQ","BEST_FPERIOD_OVERRIDE=FQ","FILING_STATUS=MR","SCALING_FORMAT=MLN","FA_ADJUSTED=GAAP","Sort=A","Dates=H","DateFormat=P","Fill=—","Direction=H","UseDPDF=Y")</f>
        <v>-163.72900000000001</v>
      </c>
      <c r="S58" s="13">
        <f>_xll.BDH("ALNY US Equity","EBITDA","FQ1 2023","FQ1 2023","Currency=USD","Period=FQ","BEST_FPERIOD_OVERRIDE=FQ","FILING_STATUS=MR","SCALING_FORMAT=MLN","FA_ADJUSTED=GAAP","Sort=A","Dates=H","DateFormat=P","Fill=—","Direction=H","UseDPDF=Y")</f>
        <v>-123.72799999999999</v>
      </c>
      <c r="T58" s="13">
        <f>_xll.BDH("ALNY US Equity","EBITDA","FQ2 2023","FQ2 2023","Currency=USD","Period=FQ","BEST_FPERIOD_OVERRIDE=FQ","FILING_STATUS=MR","SCALING_FORMAT=MLN","FA_ADJUSTED=GAAP","Sort=A","Dates=H","DateFormat=P","Fill=—","Direction=H","UseDPDF=Y")</f>
        <v>-206.38399999999999</v>
      </c>
      <c r="U58" s="13">
        <f>_xll.BDH("ALNY US Equity","EBITDA","FQ3 2023","FQ3 2023","Currency=USD","Period=FQ","BEST_FPERIOD_OVERRIDE=FQ","FILING_STATUS=MR","SCALING_FORMAT=MLN","FA_ADJUSTED=GAAP","Sort=A","Dates=H","DateFormat=P","Fill=—","Direction=H","UseDPDF=Y")</f>
        <v>237.399</v>
      </c>
      <c r="V58" s="13">
        <f>_xll.BDH("ALNY US Equity","EBITDA","FQ4 2023","FQ4 2023","Currency=USD","Period=FQ","BEST_FPERIOD_OVERRIDE=FQ","FILING_STATUS=MR","SCALING_FORMAT=MLN","FA_ADJUSTED=GAAP","Sort=A","Dates=H","DateFormat=P","Fill=—","Direction=H","UseDPDF=Y")</f>
        <v>-92.430999999999997</v>
      </c>
      <c r="W58" s="13">
        <f>_xll.BDH("ALNY US Equity","EBITDA","FQ1 2024","FQ1 2024","Currency=USD","Period=FQ","BEST_FPERIOD_OVERRIDE=FQ","FILING_STATUS=MR","SCALING_FORMAT=MLN","FA_ADJUSTED=GAAP","Sort=A","Dates=H","DateFormat=P","Fill=—","Direction=H","UseDPDF=Y")</f>
        <v>-17.949000000000002</v>
      </c>
      <c r="X58" s="13">
        <f>_xll.BDH("ALNY US Equity","EBITDA","FQ2 2024","FQ2 2024","Currency=USD","Period=FQ","BEST_FPERIOD_OVERRIDE=FQ","FILING_STATUS=MR","SCALING_FORMAT=MLN","FA_ADJUSTED=GAAP","Sort=A","Dates=H","DateFormat=P","Fill=—","Direction=H","UseDPDF=Y")</f>
        <v>73.305999999999997</v>
      </c>
      <c r="Y58" s="13">
        <f>_xll.BDH("ALNY US Equity","EBITDA","FQ3 2024","FQ3 2024","Currency=USD","Period=FQ","BEST_FPERIOD_OVERRIDE=FQ","FILING_STATUS=MR","SCALING_FORMAT=MLN","FA_ADJUSTED=GAAP","Sort=A","Dates=H","DateFormat=P","Fill=—","Direction=H","UseDPDF=Y")</f>
        <v>-49.866999999999997</v>
      </c>
      <c r="Z58" s="13">
        <f>_xll.BDH("ALNY US Equity","EBITDA","FQ4 2024","FQ4 2024","Currency=USD","Period=FQ","BEST_FPERIOD_OVERRIDE=FQ","FILING_STATUS=MR","SCALING_FORMAT=MLN","FA_ADJUSTED=GAAP","Sort=A","Dates=H","DateFormat=P","Fill=—","Direction=H","UseDPDF=Y")</f>
        <v>-90.991</v>
      </c>
    </row>
    <row r="59" spans="1:26" x14ac:dyDescent="0.25">
      <c r="A59" s="10" t="s">
        <v>420</v>
      </c>
      <c r="B59" s="10" t="s">
        <v>153</v>
      </c>
      <c r="C59" s="14">
        <f>_xll.BDH("ALNY US Equity","EBITDA_MARGIN","FQ1 2019","FQ1 2019","Currency=USD","Period=FQ","BEST_FPERIOD_OVERRIDE=FQ","FILING_STATUS=MR","FA_ADJUSTED=GAAP","Sort=A","Dates=H","DateFormat=P","Fill=—","Direction=H","UseDPDF=Y")</f>
        <v>-963.23299999999995</v>
      </c>
      <c r="D59" s="14">
        <f>_xll.BDH("ALNY US Equity","EBITDA_MARGIN","FQ2 2019","FQ2 2019","Currency=USD","Period=FQ","BEST_FPERIOD_OVERRIDE=FQ","FILING_STATUS=MR","FA_ADJUSTED=GAAP","Sort=A","Dates=H","DateFormat=P","Fill=—","Direction=H","UseDPDF=Y")</f>
        <v>-848.99519999999995</v>
      </c>
      <c r="E59" s="14">
        <f>_xll.BDH("ALNY US Equity","EBITDA_MARGIN","FQ3 2019","FQ3 2019","Currency=USD","Period=FQ","BEST_FPERIOD_OVERRIDE=FQ","FILING_STATUS=MR","FA_ADJUSTED=GAAP","Sort=A","Dates=H","DateFormat=P","Fill=—","Direction=H","UseDPDF=Y")</f>
        <v>-471.00150000000002</v>
      </c>
      <c r="F59" s="14">
        <f>_xll.BDH("ALNY US Equity","EBITDA_MARGIN","FQ4 2019","FQ4 2019","Currency=USD","Period=FQ","BEST_FPERIOD_OVERRIDE=FQ","FILING_STATUS=MR","FA_ADJUSTED=GAAP","Sort=A","Dates=H","DateFormat=P","Fill=—","Direction=H","UseDPDF=Y")</f>
        <v>-385.18770000000001</v>
      </c>
      <c r="G59" s="14">
        <f>_xll.BDH("ALNY US Equity","EBITDA_MARGIN","FQ1 2020","FQ1 2020","Currency=USD","Period=FQ","BEST_FPERIOD_OVERRIDE=FQ","FILING_STATUS=MR","FA_ADJUSTED=GAAP","Sort=A","Dates=H","DateFormat=P","Fill=—","Direction=H","UseDPDF=Y")</f>
        <v>-305.07740000000001</v>
      </c>
      <c r="H59" s="14">
        <f>_xll.BDH("ALNY US Equity","EBITDA_MARGIN","FQ2 2020","FQ2 2020","Currency=USD","Period=FQ","BEST_FPERIOD_OVERRIDE=FQ","FILING_STATUS=MR","FA_ADJUSTED=GAAP","Sort=A","Dates=H","DateFormat=P","Fill=—","Direction=H","UseDPDF=Y")</f>
        <v>-242.2388</v>
      </c>
      <c r="I59" s="14">
        <f>_xll.BDH("ALNY US Equity","EBITDA_MARGIN","FQ3 2020","FQ3 2020","Currency=USD","Period=FQ","BEST_FPERIOD_OVERRIDE=FQ","FILING_STATUS=MR","FA_ADJUSTED=GAAP","Sort=A","Dates=H","DateFormat=P","Fill=—","Direction=H","UseDPDF=Y")</f>
        <v>-212.7884</v>
      </c>
      <c r="J59" s="14">
        <f>_xll.BDH("ALNY US Equity","EBITDA_MARGIN","FQ4 2020","FQ4 2020","Currency=USD","Period=FQ","BEST_FPERIOD_OVERRIDE=FQ","FILING_STATUS=MR","FA_ADJUSTED=GAAP","Sort=A","Dates=H","DateFormat=P","Fill=—","Direction=H","UseDPDF=Y")</f>
        <v>-152.98740000000001</v>
      </c>
      <c r="K59" s="14">
        <f>_xll.BDH("ALNY US Equity","EBITDA_MARGIN","FQ1 2021","FQ1 2021","Currency=USD","Period=FQ","BEST_FPERIOD_OVERRIDE=FQ","FILING_STATUS=MR","FA_ADJUSTED=GAAP","Sort=A","Dates=H","DateFormat=P","Fill=—","Direction=H","UseDPDF=Y")</f>
        <v>-126.8503</v>
      </c>
      <c r="L59" s="14">
        <f>_xll.BDH("ALNY US Equity","EBITDA_MARGIN","FQ2 2021","FQ2 2021","Currency=USD","Period=FQ","BEST_FPERIOD_OVERRIDE=FQ","FILING_STATUS=MR","FA_ADJUSTED=GAAP","Sort=A","Dates=H","DateFormat=P","Fill=—","Direction=H","UseDPDF=Y")</f>
        <v>-97.036799999999999</v>
      </c>
      <c r="M59" s="14">
        <f>_xll.BDH("ALNY US Equity","EBITDA_MARGIN","FQ3 2021","FQ3 2021","Currency=USD","Period=FQ","BEST_FPERIOD_OVERRIDE=FQ","FILING_STATUS=MR","FA_ADJUSTED=GAAP","Sort=A","Dates=H","DateFormat=P","Fill=—","Direction=H","UseDPDF=Y")</f>
        <v>-82.634200000000007</v>
      </c>
      <c r="N59" s="14">
        <f>_xll.BDH("ALNY US Equity","EBITDA_MARGIN","FQ4 2021","FQ4 2021","Currency=USD","Period=FQ","BEST_FPERIOD_OVERRIDE=FQ","FILING_STATUS=MR","FA_ADJUSTED=GAAP","Sort=A","Dates=H","DateFormat=P","Fill=—","Direction=H","UseDPDF=Y")</f>
        <v>-73.311300000000003</v>
      </c>
      <c r="O59" s="14">
        <f>_xll.BDH("ALNY US Equity","EBITDA_MARGIN","FQ1 2022","FQ1 2022","Currency=USD","Period=FQ","BEST_FPERIOD_OVERRIDE=FQ","FILING_STATUS=MR","FA_ADJUSTED=GAAP","Sort=A","Dates=H","DateFormat=P","Fill=—","Direction=H","UseDPDF=Y")</f>
        <v>-66.197000000000003</v>
      </c>
      <c r="P59" s="14">
        <f>_xll.BDH("ALNY US Equity","EBITDA_MARGIN","FQ2 2022","FQ2 2022","Currency=USD","Period=FQ","BEST_FPERIOD_OVERRIDE=FQ","FILING_STATUS=MR","FA_ADJUSTED=GAAP","Sort=A","Dates=H","DateFormat=P","Fill=—","Direction=H","UseDPDF=Y")</f>
        <v>-71.243799999999993</v>
      </c>
      <c r="Q59" s="14">
        <f>_xll.BDH("ALNY US Equity","EBITDA_MARGIN","FQ3 2022","FQ3 2022","Currency=USD","Period=FQ","BEST_FPERIOD_OVERRIDE=FQ","FILING_STATUS=MR","FA_ADJUSTED=GAAP","Sort=A","Dates=H","DateFormat=P","Fill=—","Direction=H","UseDPDF=Y")</f>
        <v>-73.773499999999999</v>
      </c>
      <c r="R59" s="14">
        <f>_xll.BDH("ALNY US Equity","EBITDA_MARGIN","FQ4 2022","FQ4 2022","Currency=USD","Period=FQ","BEST_FPERIOD_OVERRIDE=FQ","FILING_STATUS=MR","FA_ADJUSTED=GAAP","Sort=A","Dates=H","DateFormat=P","Fill=—","Direction=H","UseDPDF=Y")</f>
        <v>-67.429100000000005</v>
      </c>
      <c r="S59" s="14">
        <f>_xll.BDH("ALNY US Equity","EBITDA_MARGIN","FQ1 2023","FQ1 2023","Currency=USD","Period=FQ","BEST_FPERIOD_OVERRIDE=FQ","FILING_STATUS=MR","FA_ADJUSTED=GAAP","Sort=A","Dates=H","DateFormat=P","Fill=—","Direction=H","UseDPDF=Y")</f>
        <v>-60.894399999999997</v>
      </c>
      <c r="T59" s="14">
        <f>_xll.BDH("ALNY US Equity","EBITDA_MARGIN","FQ2 2023","FQ2 2023","Currency=USD","Period=FQ","BEST_FPERIOD_OVERRIDE=FQ","FILING_STATUS=MR","FA_ADJUSTED=GAAP","Sort=A","Dates=H","DateFormat=P","Fill=—","Direction=H","UseDPDF=Y")</f>
        <v>-59.094900000000003</v>
      </c>
      <c r="U59" s="14">
        <f>_xll.BDH("ALNY US Equity","EBITDA_MARGIN","FQ3 2023","FQ3 2023","Currency=USD","Period=FQ","BEST_FPERIOD_OVERRIDE=FQ","FILING_STATUS=MR","FA_ADJUSTED=GAAP","Sort=A","Dates=H","DateFormat=P","Fill=—","Direction=H","UseDPDF=Y")</f>
        <v>-14.8782</v>
      </c>
      <c r="V59" s="14">
        <f>_xll.BDH("ALNY US Equity","EBITDA_MARGIN","FQ4 2023","FQ4 2023","Currency=USD","Period=FQ","BEST_FPERIOD_OVERRIDE=FQ","FILING_STATUS=MR","FA_ADJUSTED=GAAP","Sort=A","Dates=H","DateFormat=P","Fill=—","Direction=H","UseDPDF=Y")</f>
        <v>-10.1266</v>
      </c>
      <c r="W59" s="14">
        <f>_xll.BDH("ALNY US Equity","EBITDA_MARGIN","FQ1 2024","FQ1 2024","Currency=USD","Period=FQ","BEST_FPERIOD_OVERRIDE=FQ","FILING_STATUS=MR","FA_ADJUSTED=GAAP","Sort=A","Dates=H","DateFormat=P","Fill=—","Direction=H","UseDPDF=Y")</f>
        <v>-3.9615999999999998</v>
      </c>
      <c r="X59" s="14">
        <f>_xll.BDH("ALNY US Equity","EBITDA_MARGIN","FQ2 2024","FQ2 2024","Currency=USD","Period=FQ","BEST_FPERIOD_OVERRIDE=FQ","FILING_STATUS=MR","FA_ADJUSTED=GAAP","Sort=A","Dates=H","DateFormat=P","Fill=—","Direction=H","UseDPDF=Y")</f>
        <v>8.5448000000000004</v>
      </c>
      <c r="Y59" s="14">
        <f>_xll.BDH("ALNY US Equity","EBITDA_MARGIN","FQ3 2024","FQ3 2024","Currency=USD","Period=FQ","BEST_FPERIOD_OVERRIDE=FQ","FILING_STATUS=MR","FA_ADJUSTED=GAAP","Sort=A","Dates=H","DateFormat=P","Fill=—","Direction=H","UseDPDF=Y")</f>
        <v>-4.1502999999999997</v>
      </c>
      <c r="Z59" s="14">
        <f>_xll.BDH("ALNY US Equity","EBITDA_MARGIN","FQ4 2024","FQ4 2024","Currency=USD","Period=FQ","BEST_FPERIOD_OVERRIDE=FQ","FILING_STATUS=MR","FA_ADJUSTED=GAAP","Sort=A","Dates=H","DateFormat=P","Fill=—","Direction=H","UseDPDF=Y")</f>
        <v>-3.8029999999999999</v>
      </c>
    </row>
    <row r="60" spans="1:26" x14ac:dyDescent="0.25">
      <c r="A60" s="10" t="s">
        <v>421</v>
      </c>
      <c r="B60" s="10" t="s">
        <v>422</v>
      </c>
      <c r="C60" s="13">
        <f>_xll.BDH("ALNY US Equity","CF_TAX_BENEFIT_FRM_STOCK_OPTIONS","FQ1 2019","FQ1 2019","Currency=USD","Period=FQ","BEST_FPERIOD_OVERRIDE=FQ","FILING_STATUS=MR","SCALING_FORMAT=MLN","Sort=A","Dates=H","DateFormat=P","Fill=—","Direction=H","UseDPDF=Y")</f>
        <v>0</v>
      </c>
      <c r="D60" s="13" t="str">
        <f>_xll.BDH("ALNY US Equity","CF_TAX_BENEFIT_FRM_STOCK_OPTIONS","FQ2 2019","FQ2 2019","Currency=USD","Period=FQ","BEST_FPERIOD_OVERRIDE=FQ","FILING_STATUS=MR","SCALING_FORMAT=MLN","Sort=A","Dates=H","DateFormat=P","Fill=—","Direction=H","UseDPDF=Y")</f>
        <v>—</v>
      </c>
      <c r="E60" s="13">
        <f>_xll.BDH("ALNY US Equity","CF_TAX_BENEFIT_FRM_STOCK_OPTIONS","FQ3 2019","FQ3 2019","Currency=USD","Period=FQ","BEST_FPERIOD_OVERRIDE=FQ","FILING_STATUS=MR","SCALING_FORMAT=MLN","Sort=A","Dates=H","DateFormat=P","Fill=—","Direction=H","UseDPDF=Y")</f>
        <v>0</v>
      </c>
      <c r="F60" s="13">
        <f>_xll.BDH("ALNY US Equity","CF_TAX_BENEFIT_FRM_STOCK_OPTIONS","FQ4 2019","FQ4 2019","Currency=USD","Period=FQ","BEST_FPERIOD_OVERRIDE=FQ","FILING_STATUS=MR","SCALING_FORMAT=MLN","Sort=A","Dates=H","DateFormat=P","Fill=—","Direction=H","UseDPDF=Y")</f>
        <v>0</v>
      </c>
      <c r="G60" s="13">
        <f>_xll.BDH("ALNY US Equity","CF_TAX_BENEFIT_FRM_STOCK_OPTIONS","FQ1 2020","FQ1 2020","Currency=USD","Period=FQ","BEST_FPERIOD_OVERRIDE=FQ","FILING_STATUS=MR","SCALING_FORMAT=MLN","Sort=A","Dates=H","DateFormat=P","Fill=—","Direction=H","UseDPDF=Y")</f>
        <v>0</v>
      </c>
      <c r="H60" s="13" t="str">
        <f>_xll.BDH("ALNY US Equity","CF_TAX_BENEFIT_FRM_STOCK_OPTIONS","FQ2 2020","FQ2 2020","Currency=USD","Period=FQ","BEST_FPERIOD_OVERRIDE=FQ","FILING_STATUS=MR","SCALING_FORMAT=MLN","Sort=A","Dates=H","DateFormat=P","Fill=—","Direction=H","UseDPDF=Y")</f>
        <v>—</v>
      </c>
      <c r="I60" s="13" t="str">
        <f>_xll.BDH("ALNY US Equity","CF_TAX_BENEFIT_FRM_STOCK_OPTIONS","FQ3 2020","FQ3 2020","Currency=USD","Period=FQ","BEST_FPERIOD_OVERRIDE=FQ","FILING_STATUS=MR","SCALING_FORMAT=MLN","Sort=A","Dates=H","DateFormat=P","Fill=—","Direction=H","UseDPDF=Y")</f>
        <v>—</v>
      </c>
      <c r="J60" s="13" t="str">
        <f>_xll.BDH("ALNY US Equity","CF_TAX_BENEFIT_FRM_STOCK_OPTIONS","FQ4 2020","FQ4 2020","Currency=USD","Period=FQ","BEST_FPERIOD_OVERRIDE=FQ","FILING_STATUS=MR","SCALING_FORMAT=MLN","Sort=A","Dates=H","DateFormat=P","Fill=—","Direction=H","UseDPDF=Y")</f>
        <v>—</v>
      </c>
      <c r="K60" s="13" t="str">
        <f>_xll.BDH("ALNY US Equity","CF_TAX_BENEFIT_FRM_STOCK_OPTIONS","FQ1 2021","FQ1 2021","Currency=USD","Period=FQ","BEST_FPERIOD_OVERRIDE=FQ","FILING_STATUS=MR","SCALING_FORMAT=MLN","Sort=A","Dates=H","DateFormat=P","Fill=—","Direction=H","UseDPDF=Y")</f>
        <v>—</v>
      </c>
      <c r="L60" s="13" t="str">
        <f>_xll.BDH("ALNY US Equity","CF_TAX_BENEFIT_FRM_STOCK_OPTIONS","FQ2 2021","FQ2 2021","Currency=USD","Period=FQ","BEST_FPERIOD_OVERRIDE=FQ","FILING_STATUS=MR","SCALING_FORMAT=MLN","Sort=A","Dates=H","DateFormat=P","Fill=—","Direction=H","UseDPDF=Y")</f>
        <v>—</v>
      </c>
      <c r="M60" s="13" t="str">
        <f>_xll.BDH("ALNY US Equity","CF_TAX_BENEFIT_FRM_STOCK_OPTIONS","FQ3 2021","FQ3 2021","Currency=USD","Period=FQ","BEST_FPERIOD_OVERRIDE=FQ","FILING_STATUS=MR","SCALING_FORMAT=MLN","Sort=A","Dates=H","DateFormat=P","Fill=—","Direction=H","UseDPDF=Y")</f>
        <v>—</v>
      </c>
      <c r="N60" s="13" t="str">
        <f>_xll.BDH("ALNY US Equity","CF_TAX_BENEFIT_FRM_STOCK_OPTIONS","FQ4 2021","FQ4 2021","Currency=USD","Period=FQ","BEST_FPERIOD_OVERRIDE=FQ","FILING_STATUS=MR","SCALING_FORMAT=MLN","Sort=A","Dates=H","DateFormat=P","Fill=—","Direction=H","UseDPDF=Y")</f>
        <v>—</v>
      </c>
      <c r="O60" s="13" t="str">
        <f>_xll.BDH("ALNY US Equity","CF_TAX_BENEFIT_FRM_STOCK_OPTIONS","FQ1 2022","FQ1 2022","Currency=USD","Period=FQ","BEST_FPERIOD_OVERRIDE=FQ","FILING_STATUS=MR","SCALING_FORMAT=MLN","Sort=A","Dates=H","DateFormat=P","Fill=—","Direction=H","UseDPDF=Y")</f>
        <v>—</v>
      </c>
      <c r="P60" s="13" t="str">
        <f>_xll.BDH("ALNY US Equity","CF_TAX_BENEFIT_FRM_STOCK_OPTIONS","FQ2 2022","FQ2 2022","Currency=USD","Period=FQ","BEST_FPERIOD_OVERRIDE=FQ","FILING_STATUS=MR","SCALING_FORMAT=MLN","Sort=A","Dates=H","DateFormat=P","Fill=—","Direction=H","UseDPDF=Y")</f>
        <v>—</v>
      </c>
      <c r="Q60" s="13" t="str">
        <f>_xll.BDH("ALNY US Equity","CF_TAX_BENEFIT_FRM_STOCK_OPTIONS","FQ3 2022","FQ3 2022","Currency=USD","Period=FQ","BEST_FPERIOD_OVERRIDE=FQ","FILING_STATUS=MR","SCALING_FORMAT=MLN","Sort=A","Dates=H","DateFormat=P","Fill=—","Direction=H","UseDPDF=Y")</f>
        <v>—</v>
      </c>
      <c r="R60" s="13" t="str">
        <f>_xll.BDH("ALNY US Equity","CF_TAX_BENEFIT_FRM_STOCK_OPTIONS","FQ4 2022","FQ4 2022","Currency=USD","Period=FQ","BEST_FPERIOD_OVERRIDE=FQ","FILING_STATUS=MR","SCALING_FORMAT=MLN","Sort=A","Dates=H","DateFormat=P","Fill=—","Direction=H","UseDPDF=Y")</f>
        <v>—</v>
      </c>
      <c r="S60" s="13" t="str">
        <f>_xll.BDH("ALNY US Equity","CF_TAX_BENEFIT_FRM_STOCK_OPTIONS","FQ1 2023","FQ1 2023","Currency=USD","Period=FQ","BEST_FPERIOD_OVERRIDE=FQ","FILING_STATUS=MR","SCALING_FORMAT=MLN","Sort=A","Dates=H","DateFormat=P","Fill=—","Direction=H","UseDPDF=Y")</f>
        <v>—</v>
      </c>
      <c r="T60" s="13" t="str">
        <f>_xll.BDH("ALNY US Equity","CF_TAX_BENEFIT_FRM_STOCK_OPTIONS","FQ2 2023","FQ2 2023","Currency=USD","Period=FQ","BEST_FPERIOD_OVERRIDE=FQ","FILING_STATUS=MR","SCALING_FORMAT=MLN","Sort=A","Dates=H","DateFormat=P","Fill=—","Direction=H","UseDPDF=Y")</f>
        <v>—</v>
      </c>
      <c r="U60" s="13" t="str">
        <f>_xll.BDH("ALNY US Equity","CF_TAX_BENEFIT_FRM_STOCK_OPTIONS","FQ3 2023","FQ3 2023","Currency=USD","Period=FQ","BEST_FPERIOD_OVERRIDE=FQ","FILING_STATUS=MR","SCALING_FORMAT=MLN","Sort=A","Dates=H","DateFormat=P","Fill=—","Direction=H","UseDPDF=Y")</f>
        <v>—</v>
      </c>
      <c r="V60" s="13" t="str">
        <f>_xll.BDH("ALNY US Equity","CF_TAX_BENEFIT_FRM_STOCK_OPTIONS","FQ4 2023","FQ4 2023","Currency=USD","Period=FQ","BEST_FPERIOD_OVERRIDE=FQ","FILING_STATUS=MR","SCALING_FORMAT=MLN","Sort=A","Dates=H","DateFormat=P","Fill=—","Direction=H","UseDPDF=Y")</f>
        <v>—</v>
      </c>
      <c r="W60" s="13" t="str">
        <f>_xll.BDH("ALNY US Equity","CF_TAX_BENEFIT_FRM_STOCK_OPTIONS","FQ1 2024","FQ1 2024","Currency=USD","Period=FQ","BEST_FPERIOD_OVERRIDE=FQ","FILING_STATUS=MR","SCALING_FORMAT=MLN","Sort=A","Dates=H","DateFormat=P","Fill=—","Direction=H","UseDPDF=Y")</f>
        <v>—</v>
      </c>
      <c r="X60" s="13" t="str">
        <f>_xll.BDH("ALNY US Equity","CF_TAX_BENEFIT_FRM_STOCK_OPTIONS","FQ2 2024","FQ2 2024","Currency=USD","Period=FQ","BEST_FPERIOD_OVERRIDE=FQ","FILING_STATUS=MR","SCALING_FORMAT=MLN","Sort=A","Dates=H","DateFormat=P","Fill=—","Direction=H","UseDPDF=Y")</f>
        <v>—</v>
      </c>
      <c r="Y60" s="13" t="str">
        <f>_xll.BDH("ALNY US Equity","CF_TAX_BENEFIT_FRM_STOCK_OPTIONS","FQ3 2024","FQ3 2024","Currency=USD","Period=FQ","BEST_FPERIOD_OVERRIDE=FQ","FILING_STATUS=MR","SCALING_FORMAT=MLN","Sort=A","Dates=H","DateFormat=P","Fill=—","Direction=H","UseDPDF=Y")</f>
        <v>—</v>
      </c>
      <c r="Z60" s="13" t="str">
        <f>_xll.BDH("ALNY US Equity","CF_TAX_BENEFIT_FRM_STOCK_OPTIONS","FQ4 2024","FQ4 2024","Currency=USD","Period=FQ","BEST_FPERIOD_OVERRIDE=FQ","FILING_STATUS=MR","SCALING_FORMAT=MLN","Sort=A","Dates=H","DateFormat=P","Fill=—","Direction=H","UseDPDF=Y")</f>
        <v>—</v>
      </c>
    </row>
    <row r="61" spans="1:26" x14ac:dyDescent="0.25">
      <c r="A61" s="10" t="s">
        <v>423</v>
      </c>
      <c r="B61" s="10" t="s">
        <v>424</v>
      </c>
      <c r="C61" s="13">
        <f>_xll.BDH("ALNY US Equity","CF_FREE_CASH_FLOW","FQ1 2019","FQ1 2019","Currency=USD","Period=FQ","BEST_FPERIOD_OVERRIDE=FQ","FILING_STATUS=MR","SCALING_FORMAT=MLN","Sort=A","Dates=H","DateFormat=P","Fill=—","Direction=H","UseDPDF=Y")</f>
        <v>-232.559</v>
      </c>
      <c r="D61" s="13">
        <f>_xll.BDH("ALNY US Equity","CF_FREE_CASH_FLOW","FQ2 2019","FQ2 2019","Currency=USD","Period=FQ","BEST_FPERIOD_OVERRIDE=FQ","FILING_STATUS=MR","SCALING_FORMAT=MLN","Sort=A","Dates=H","DateFormat=P","Fill=—","Direction=H","UseDPDF=Y")</f>
        <v>267.45100000000002</v>
      </c>
      <c r="E61" s="13">
        <f>_xll.BDH("ALNY US Equity","CF_FREE_CASH_FLOW","FQ3 2019","FQ3 2019","Currency=USD","Period=FQ","BEST_FPERIOD_OVERRIDE=FQ","FILING_STATUS=MR","SCALING_FORMAT=MLN","Sort=A","Dates=H","DateFormat=P","Fill=—","Direction=H","UseDPDF=Y")</f>
        <v>-218.69</v>
      </c>
      <c r="F61" s="13">
        <f>_xll.BDH("ALNY US Equity","CF_FREE_CASH_FLOW","FQ4 2019","FQ4 2019","Currency=USD","Period=FQ","BEST_FPERIOD_OVERRIDE=FQ","FILING_STATUS=MR","SCALING_FORMAT=MLN","Sort=A","Dates=H","DateFormat=P","Fill=—","Direction=H","UseDPDF=Y")</f>
        <v>-234.785</v>
      </c>
      <c r="G61" s="13">
        <f>_xll.BDH("ALNY US Equity","CF_FREE_CASH_FLOW","FQ1 2020","FQ1 2020","Currency=USD","Period=FQ","BEST_FPERIOD_OVERRIDE=FQ","FILING_STATUS=MR","SCALING_FORMAT=MLN","Sort=A","Dates=H","DateFormat=P","Fill=—","Direction=H","UseDPDF=Y")</f>
        <v>-265.77800000000002</v>
      </c>
      <c r="H61" s="13">
        <f>_xll.BDH("ALNY US Equity","CF_FREE_CASH_FLOW","FQ2 2020","FQ2 2020","Currency=USD","Period=FQ","BEST_FPERIOD_OVERRIDE=FQ","FILING_STATUS=MR","SCALING_FORMAT=MLN","Sort=A","Dates=H","DateFormat=P","Fill=—","Direction=H","UseDPDF=Y")</f>
        <v>-151.988</v>
      </c>
      <c r="I61" s="13">
        <f>_xll.BDH("ALNY US Equity","CF_FREE_CASH_FLOW","FQ3 2020","FQ3 2020","Currency=USD","Period=FQ","BEST_FPERIOD_OVERRIDE=FQ","FILING_STATUS=MR","SCALING_FORMAT=MLN","Sort=A","Dates=H","DateFormat=P","Fill=—","Direction=H","UseDPDF=Y")</f>
        <v>-122.744</v>
      </c>
      <c r="J61" s="13">
        <f>_xll.BDH("ALNY US Equity","CF_FREE_CASH_FLOW","FQ4 2020","FQ4 2020","Currency=USD","Period=FQ","BEST_FPERIOD_OVERRIDE=FQ","FILING_STATUS=MR","SCALING_FORMAT=MLN","Sort=A","Dates=H","DateFormat=P","Fill=—","Direction=H","UseDPDF=Y")</f>
        <v>-144.81200000000001</v>
      </c>
      <c r="K61" s="13">
        <f>_xll.BDH("ALNY US Equity","CF_FREE_CASH_FLOW","FQ1 2021","FQ1 2021","Currency=USD","Period=FQ","BEST_FPERIOD_OVERRIDE=FQ","FILING_STATUS=MR","SCALING_FORMAT=MLN","Sort=A","Dates=H","DateFormat=P","Fill=—","Direction=H","UseDPDF=Y")</f>
        <v>-252.83799999999999</v>
      </c>
      <c r="L61" s="13">
        <f>_xll.BDH("ALNY US Equity","CF_FREE_CASH_FLOW","FQ2 2021","FQ2 2021","Currency=USD","Period=FQ","BEST_FPERIOD_OVERRIDE=FQ","FILING_STATUS=MR","SCALING_FORMAT=MLN","Sort=A","Dates=H","DateFormat=P","Fill=—","Direction=H","UseDPDF=Y")</f>
        <v>-133.102</v>
      </c>
      <c r="M61" s="13">
        <f>_xll.BDH("ALNY US Equity","CF_FREE_CASH_FLOW","FQ3 2021","FQ3 2021","Currency=USD","Period=FQ","BEST_FPERIOD_OVERRIDE=FQ","FILING_STATUS=MR","SCALING_FORMAT=MLN","Sort=A","Dates=H","DateFormat=P","Fill=—","Direction=H","UseDPDF=Y")</f>
        <v>-160.09800000000001</v>
      </c>
      <c r="N61" s="13">
        <f>_xll.BDH("ALNY US Equity","CF_FREE_CASH_FLOW","FQ4 2021","FQ4 2021","Currency=USD","Period=FQ","BEST_FPERIOD_OVERRIDE=FQ","FILING_STATUS=MR","SCALING_FORMAT=MLN","Sort=A","Dates=H","DateFormat=P","Fill=—","Direction=H","UseDPDF=Y")</f>
        <v>-172.02699999999999</v>
      </c>
      <c r="O61" s="13">
        <f>_xll.BDH("ALNY US Equity","CF_FREE_CASH_FLOW","FQ1 2022","FQ1 2022","Currency=USD","Period=FQ","BEST_FPERIOD_OVERRIDE=FQ","FILING_STATUS=MR","SCALING_FORMAT=MLN","Sort=A","Dates=H","DateFormat=P","Fill=—","Direction=H","UseDPDF=Y")</f>
        <v>-189.05199999999999</v>
      </c>
      <c r="P61" s="13">
        <f>_xll.BDH("ALNY US Equity","CF_FREE_CASH_FLOW","FQ2 2022","FQ2 2022","Currency=USD","Period=FQ","BEST_FPERIOD_OVERRIDE=FQ","FILING_STATUS=MR","SCALING_FORMAT=MLN","Sort=A","Dates=H","DateFormat=P","Fill=—","Direction=H","UseDPDF=Y")</f>
        <v>-138.874</v>
      </c>
      <c r="Q61" s="13">
        <f>_xll.BDH("ALNY US Equity","CF_FREE_CASH_FLOW","FQ3 2022","FQ3 2022","Currency=USD","Period=FQ","BEST_FPERIOD_OVERRIDE=FQ","FILING_STATUS=MR","SCALING_FORMAT=MLN","Sort=A","Dates=H","DateFormat=P","Fill=—","Direction=H","UseDPDF=Y")</f>
        <v>-131.79400000000001</v>
      </c>
      <c r="R61" s="13">
        <f>_xll.BDH("ALNY US Equity","CF_FREE_CASH_FLOW","FQ4 2022","FQ4 2022","Currency=USD","Period=FQ","BEST_FPERIOD_OVERRIDE=FQ","FILING_STATUS=MR","SCALING_FORMAT=MLN","Sort=A","Dates=H","DateFormat=P","Fill=—","Direction=H","UseDPDF=Y")</f>
        <v>-153.613</v>
      </c>
      <c r="S61" s="13">
        <f>_xll.BDH("ALNY US Equity","CF_FREE_CASH_FLOW","FQ1 2023","FQ1 2023","Currency=USD","Period=FQ","BEST_FPERIOD_OVERRIDE=FQ","FILING_STATUS=MR","SCALING_FORMAT=MLN","Sort=A","Dates=H","DateFormat=P","Fill=—","Direction=H","UseDPDF=Y")</f>
        <v>-180.36600000000001</v>
      </c>
      <c r="T61" s="13">
        <f>_xll.BDH("ALNY US Equity","CF_FREE_CASH_FLOW","FQ2 2023","FQ2 2023","Currency=USD","Period=FQ","BEST_FPERIOD_OVERRIDE=FQ","FILING_STATUS=MR","SCALING_FORMAT=MLN","Sort=A","Dates=H","DateFormat=P","Fill=—","Direction=H","UseDPDF=Y")</f>
        <v>-74.905000000000001</v>
      </c>
      <c r="U61" s="13">
        <f>_xll.BDH("ALNY US Equity","CF_FREE_CASH_FLOW","FQ3 2023","FQ3 2023","Currency=USD","Period=FQ","BEST_FPERIOD_OVERRIDE=FQ","FILING_STATUS=MR","SCALING_FORMAT=MLN","Sort=A","Dates=H","DateFormat=P","Fill=—","Direction=H","UseDPDF=Y")</f>
        <v>342.32</v>
      </c>
      <c r="V61" s="13">
        <f>_xll.BDH("ALNY US Equity","CF_FREE_CASH_FLOW","FQ4 2023","FQ4 2023","Currency=USD","Period=FQ","BEST_FPERIOD_OVERRIDE=FQ","FILING_STATUS=MR","SCALING_FORMAT=MLN","Sort=A","Dates=H","DateFormat=P","Fill=—","Direction=H","UseDPDF=Y")</f>
        <v>-45.103999999999999</v>
      </c>
      <c r="W61" s="13">
        <f>_xll.BDH("ALNY US Equity","CF_FREE_CASH_FLOW","FQ1 2024","FQ1 2024","Currency=USD","Period=FQ","BEST_FPERIOD_OVERRIDE=FQ","FILING_STATUS=MR","SCALING_FORMAT=MLN","Sort=A","Dates=H","DateFormat=P","Fill=—","Direction=H","UseDPDF=Y")</f>
        <v>-94.488</v>
      </c>
      <c r="X61" s="13">
        <f>_xll.BDH("ALNY US Equity","CF_FREE_CASH_FLOW","FQ2 2024","FQ2 2024","Currency=USD","Period=FQ","BEST_FPERIOD_OVERRIDE=FQ","FILING_STATUS=MR","SCALING_FORMAT=MLN","Sort=A","Dates=H","DateFormat=P","Fill=—","Direction=H","UseDPDF=Y")</f>
        <v>116.14</v>
      </c>
      <c r="Y61" s="13">
        <f>_xll.BDH("ALNY US Equity","CF_FREE_CASH_FLOW","FQ3 2024","FQ3 2024","Currency=USD","Period=FQ","BEST_FPERIOD_OVERRIDE=FQ","FILING_STATUS=MR","SCALING_FORMAT=MLN","Sort=A","Dates=H","DateFormat=P","Fill=—","Direction=H","UseDPDF=Y")</f>
        <v>39.515000000000001</v>
      </c>
      <c r="Z61" s="13">
        <f>_xll.BDH("ALNY US Equity","CF_FREE_CASH_FLOW","FQ4 2024","FQ4 2024","Currency=USD","Period=FQ","BEST_FPERIOD_OVERRIDE=FQ","FILING_STATUS=MR","SCALING_FORMAT=MLN","Sort=A","Dates=H","DateFormat=P","Fill=—","Direction=H","UseDPDF=Y")</f>
        <v>-103.756</v>
      </c>
    </row>
    <row r="62" spans="1:26" x14ac:dyDescent="0.25">
      <c r="A62" s="10" t="s">
        <v>425</v>
      </c>
      <c r="B62" s="10" t="s">
        <v>426</v>
      </c>
      <c r="C62" s="13" t="str">
        <f>_xll.BDH("ALNY US Equity","CF_FREE_CASH_FLOW_FIRM","FQ1 2019","FQ1 2019","Currency=USD","Period=FQ","BEST_FPERIOD_OVERRIDE=FQ","FILING_STATUS=MR","SCALING_FORMAT=MLN","FA_ADJUSTED=GAAP","Sort=A","Dates=H","DateFormat=P","Fill=—","Direction=H","UseDPDF=Y")</f>
        <v>—</v>
      </c>
      <c r="D62" s="13" t="str">
        <f>_xll.BDH("ALNY US Equity","CF_FREE_CASH_FLOW_FIRM","FQ2 2019","FQ2 2019","Currency=USD","Period=FQ","BEST_FPERIOD_OVERRIDE=FQ","FILING_STATUS=MR","SCALING_FORMAT=MLN","FA_ADJUSTED=GAAP","Sort=A","Dates=H","DateFormat=P","Fill=—","Direction=H","UseDPDF=Y")</f>
        <v>—</v>
      </c>
      <c r="E62" s="13" t="str">
        <f>_xll.BDH("ALNY US Equity","CF_FREE_CASH_FLOW_FIRM","FQ3 2019","FQ3 2019","Currency=USD","Period=FQ","BEST_FPERIOD_OVERRIDE=FQ","FILING_STATUS=MR","SCALING_FORMAT=MLN","FA_ADJUSTED=GAAP","Sort=A","Dates=H","DateFormat=P","Fill=—","Direction=H","UseDPDF=Y")</f>
        <v>—</v>
      </c>
      <c r="F62" s="13" t="str">
        <f>_xll.BDH("ALNY US Equity","CF_FREE_CASH_FLOW_FIRM","FQ4 2019","FQ4 2019","Currency=USD","Period=FQ","BEST_FPERIOD_OVERRIDE=FQ","FILING_STATUS=MR","SCALING_FORMAT=MLN","FA_ADJUSTED=GAAP","Sort=A","Dates=H","DateFormat=P","Fill=—","Direction=H","UseDPDF=Y")</f>
        <v>—</v>
      </c>
      <c r="G62" s="13" t="str">
        <f>_xll.BDH("ALNY US Equity","CF_FREE_CASH_FLOW_FIRM","FQ1 2020","FQ1 2020","Currency=USD","Period=FQ","BEST_FPERIOD_OVERRIDE=FQ","FILING_STATUS=MR","SCALING_FORMAT=MLN","FA_ADJUSTED=GAAP","Sort=A","Dates=H","DateFormat=P","Fill=—","Direction=H","UseDPDF=Y")</f>
        <v>—</v>
      </c>
      <c r="H62" s="13" t="str">
        <f>_xll.BDH("ALNY US Equity","CF_FREE_CASH_FLOW_FIRM","FQ2 2020","FQ2 2020","Currency=USD","Period=FQ","BEST_FPERIOD_OVERRIDE=FQ","FILING_STATUS=MR","SCALING_FORMAT=MLN","FA_ADJUSTED=GAAP","Sort=A","Dates=H","DateFormat=P","Fill=—","Direction=H","UseDPDF=Y")</f>
        <v>—</v>
      </c>
      <c r="I62" s="13" t="str">
        <f>_xll.BDH("ALNY US Equity","CF_FREE_CASH_FLOW_FIRM","FQ3 2020","FQ3 2020","Currency=USD","Period=FQ","BEST_FPERIOD_OVERRIDE=FQ","FILING_STATUS=MR","SCALING_FORMAT=MLN","FA_ADJUSTED=GAAP","Sort=A","Dates=H","DateFormat=P","Fill=—","Direction=H","UseDPDF=Y")</f>
        <v>—</v>
      </c>
      <c r="J62" s="13" t="str">
        <f>_xll.BDH("ALNY US Equity","CF_FREE_CASH_FLOW_FIRM","FQ4 2020","FQ4 2020","Currency=USD","Period=FQ","BEST_FPERIOD_OVERRIDE=FQ","FILING_STATUS=MR","SCALING_FORMAT=MLN","FA_ADJUSTED=GAAP","Sort=A","Dates=H","DateFormat=P","Fill=—","Direction=H","UseDPDF=Y")</f>
        <v>—</v>
      </c>
      <c r="K62" s="13" t="str">
        <f>_xll.BDH("ALNY US Equity","CF_FREE_CASH_FLOW_FIRM","FQ1 2021","FQ1 2021","Currency=USD","Period=FQ","BEST_FPERIOD_OVERRIDE=FQ","FILING_STATUS=MR","SCALING_FORMAT=MLN","FA_ADJUSTED=GAAP","Sort=A","Dates=H","DateFormat=P","Fill=—","Direction=H","UseDPDF=Y")</f>
        <v>—</v>
      </c>
      <c r="L62" s="13" t="str">
        <f>_xll.BDH("ALNY US Equity","CF_FREE_CASH_FLOW_FIRM","FQ2 2021","FQ2 2021","Currency=USD","Period=FQ","BEST_FPERIOD_OVERRIDE=FQ","FILING_STATUS=MR","SCALING_FORMAT=MLN","FA_ADJUSTED=GAAP","Sort=A","Dates=H","DateFormat=P","Fill=—","Direction=H","UseDPDF=Y")</f>
        <v>—</v>
      </c>
      <c r="M62" s="13" t="str">
        <f>_xll.BDH("ALNY US Equity","CF_FREE_CASH_FLOW_FIRM","FQ3 2021","FQ3 2021","Currency=USD","Period=FQ","BEST_FPERIOD_OVERRIDE=FQ","FILING_STATUS=MR","SCALING_FORMAT=MLN","FA_ADJUSTED=GAAP","Sort=A","Dates=H","DateFormat=P","Fill=—","Direction=H","UseDPDF=Y")</f>
        <v>—</v>
      </c>
      <c r="N62" s="13" t="str">
        <f>_xll.BDH("ALNY US Equity","CF_FREE_CASH_FLOW_FIRM","FQ4 2021","FQ4 2021","Currency=USD","Period=FQ","BEST_FPERIOD_OVERRIDE=FQ","FILING_STATUS=MR","SCALING_FORMAT=MLN","FA_ADJUSTED=GAAP","Sort=A","Dates=H","DateFormat=P","Fill=—","Direction=H","UseDPDF=Y")</f>
        <v>—</v>
      </c>
      <c r="O62" s="13" t="str">
        <f>_xll.BDH("ALNY US Equity","CF_FREE_CASH_FLOW_FIRM","FQ1 2022","FQ1 2022","Currency=USD","Period=FQ","BEST_FPERIOD_OVERRIDE=FQ","FILING_STATUS=MR","SCALING_FORMAT=MLN","FA_ADJUSTED=GAAP","Sort=A","Dates=H","DateFormat=P","Fill=—","Direction=H","UseDPDF=Y")</f>
        <v>—</v>
      </c>
      <c r="P62" s="13" t="str">
        <f>_xll.BDH("ALNY US Equity","CF_FREE_CASH_FLOW_FIRM","FQ2 2022","FQ2 2022","Currency=USD","Period=FQ","BEST_FPERIOD_OVERRIDE=FQ","FILING_STATUS=MR","SCALING_FORMAT=MLN","FA_ADJUSTED=GAAP","Sort=A","Dates=H","DateFormat=P","Fill=—","Direction=H","UseDPDF=Y")</f>
        <v>—</v>
      </c>
      <c r="Q62" s="13" t="str">
        <f>_xll.BDH("ALNY US Equity","CF_FREE_CASH_FLOW_FIRM","FQ3 2022","FQ3 2022","Currency=USD","Period=FQ","BEST_FPERIOD_OVERRIDE=FQ","FILING_STATUS=MR","SCALING_FORMAT=MLN","FA_ADJUSTED=GAAP","Sort=A","Dates=H","DateFormat=P","Fill=—","Direction=H","UseDPDF=Y")</f>
        <v>—</v>
      </c>
      <c r="R62" s="13" t="str">
        <f>_xll.BDH("ALNY US Equity","CF_FREE_CASH_FLOW_FIRM","FQ4 2022","FQ4 2022","Currency=USD","Period=FQ","BEST_FPERIOD_OVERRIDE=FQ","FILING_STATUS=MR","SCALING_FORMAT=MLN","FA_ADJUSTED=GAAP","Sort=A","Dates=H","DateFormat=P","Fill=—","Direction=H","UseDPDF=Y")</f>
        <v>—</v>
      </c>
      <c r="S62" s="13" t="str">
        <f>_xll.BDH("ALNY US Equity","CF_FREE_CASH_FLOW_FIRM","FQ1 2023","FQ1 2023","Currency=USD","Period=FQ","BEST_FPERIOD_OVERRIDE=FQ","FILING_STATUS=MR","SCALING_FORMAT=MLN","FA_ADJUSTED=GAAP","Sort=A","Dates=H","DateFormat=P","Fill=—","Direction=H","UseDPDF=Y")</f>
        <v>—</v>
      </c>
      <c r="T62" s="13" t="str">
        <f>_xll.BDH("ALNY US Equity","CF_FREE_CASH_FLOW_FIRM","FQ2 2023","FQ2 2023","Currency=USD","Period=FQ","BEST_FPERIOD_OVERRIDE=FQ","FILING_STATUS=MR","SCALING_FORMAT=MLN","FA_ADJUSTED=GAAP","Sort=A","Dates=H","DateFormat=P","Fill=—","Direction=H","UseDPDF=Y")</f>
        <v>—</v>
      </c>
      <c r="U62" s="13">
        <f>_xll.BDH("ALNY US Equity","CF_FREE_CASH_FLOW_FIRM","FQ3 2023","FQ3 2023","Currency=USD","Period=FQ","BEST_FPERIOD_OVERRIDE=FQ","FILING_STATUS=MR","SCALING_FORMAT=MLN","FA_ADJUSTED=GAAP","Sort=A","Dates=H","DateFormat=P","Fill=—","Direction=H","UseDPDF=Y")</f>
        <v>372.60059999999999</v>
      </c>
      <c r="V62" s="13" t="str">
        <f>_xll.BDH("ALNY US Equity","CF_FREE_CASH_FLOW_FIRM","FQ4 2023","FQ4 2023","Currency=USD","Period=FQ","BEST_FPERIOD_OVERRIDE=FQ","FILING_STATUS=MR","SCALING_FORMAT=MLN","FA_ADJUSTED=GAAP","Sort=A","Dates=H","DateFormat=P","Fill=—","Direction=H","UseDPDF=Y")</f>
        <v>—</v>
      </c>
      <c r="W62" s="13" t="str">
        <f>_xll.BDH("ALNY US Equity","CF_FREE_CASH_FLOW_FIRM","FQ1 2024","FQ1 2024","Currency=USD","Period=FQ","BEST_FPERIOD_OVERRIDE=FQ","FILING_STATUS=MR","SCALING_FORMAT=MLN","FA_ADJUSTED=GAAP","Sort=A","Dates=H","DateFormat=P","Fill=—","Direction=H","UseDPDF=Y")</f>
        <v>—</v>
      </c>
      <c r="X62" s="13" t="str">
        <f>_xll.BDH("ALNY US Equity","CF_FREE_CASH_FLOW_FIRM","FQ2 2024","FQ2 2024","Currency=USD","Period=FQ","BEST_FPERIOD_OVERRIDE=FQ","FILING_STATUS=MR","SCALING_FORMAT=MLN","FA_ADJUSTED=GAAP","Sort=A","Dates=H","DateFormat=P","Fill=—","Direction=H","UseDPDF=Y")</f>
        <v>—</v>
      </c>
      <c r="Y62" s="13" t="str">
        <f>_xll.BDH("ALNY US Equity","CF_FREE_CASH_FLOW_FIRM","FQ3 2024","FQ3 2024","Currency=USD","Period=FQ","BEST_FPERIOD_OVERRIDE=FQ","FILING_STATUS=MR","SCALING_FORMAT=MLN","FA_ADJUSTED=GAAP","Sort=A","Dates=H","DateFormat=P","Fill=—","Direction=H","UseDPDF=Y")</f>
        <v>—</v>
      </c>
      <c r="Z62" s="13" t="str">
        <f>_xll.BDH("ALNY US Equity","CF_FREE_CASH_FLOW_FIRM","FQ4 2024","FQ4 2024","Currency=USD","Period=FQ","BEST_FPERIOD_OVERRIDE=FQ","FILING_STATUS=MR","SCALING_FORMAT=MLN","FA_ADJUSTED=GAAP","Sort=A","Dates=H","DateFormat=P","Fill=—","Direction=H","UseDPDF=Y")</f>
        <v>—</v>
      </c>
    </row>
    <row r="63" spans="1:26" x14ac:dyDescent="0.25">
      <c r="A63" s="10" t="s">
        <v>427</v>
      </c>
      <c r="B63" s="10" t="s">
        <v>428</v>
      </c>
      <c r="C63" s="13">
        <f>_xll.BDH("ALNY US Equity","FREE_CASH_FLOW_EQUITY","FQ1 2019","FQ1 2019","Currency=USD","Period=FQ","BEST_FPERIOD_OVERRIDE=FQ","FILING_STATUS=MR","SCALING_FORMAT=MLN","Sort=A","Dates=H","DateFormat=P","Fill=—","Direction=H","UseDPDF=Y")</f>
        <v>-232.559</v>
      </c>
      <c r="D63" s="13">
        <f>_xll.BDH("ALNY US Equity","FREE_CASH_FLOW_EQUITY","FQ2 2019","FQ2 2019","Currency=USD","Period=FQ","BEST_FPERIOD_OVERRIDE=FQ","FILING_STATUS=MR","SCALING_FORMAT=MLN","Sort=A","Dates=H","DateFormat=P","Fill=—","Direction=H","UseDPDF=Y")</f>
        <v>267.45100000000002</v>
      </c>
      <c r="E63" s="13">
        <f>_xll.BDH("ALNY US Equity","FREE_CASH_FLOW_EQUITY","FQ3 2019","FQ3 2019","Currency=USD","Period=FQ","BEST_FPERIOD_OVERRIDE=FQ","FILING_STATUS=MR","SCALING_FORMAT=MLN","Sort=A","Dates=H","DateFormat=P","Fill=—","Direction=H","UseDPDF=Y")</f>
        <v>-248.69</v>
      </c>
      <c r="F63" s="13">
        <f>_xll.BDH("ALNY US Equity","FREE_CASH_FLOW_EQUITY","FQ4 2019","FQ4 2019","Currency=USD","Period=FQ","BEST_FPERIOD_OVERRIDE=FQ","FILING_STATUS=MR","SCALING_FORMAT=MLN","Sort=A","Dates=H","DateFormat=P","Fill=—","Direction=H","UseDPDF=Y")</f>
        <v>-234.785</v>
      </c>
      <c r="G63" s="13">
        <f>_xll.BDH("ALNY US Equity","FREE_CASH_FLOW_EQUITY","FQ1 2020","FQ1 2020","Currency=USD","Period=FQ","BEST_FPERIOD_OVERRIDE=FQ","FILING_STATUS=MR","SCALING_FORMAT=MLN","Sort=A","Dates=H","DateFormat=P","Fill=—","Direction=H","UseDPDF=Y")</f>
        <v>-265.77800000000002</v>
      </c>
      <c r="H63" s="13">
        <f>_xll.BDH("ALNY US Equity","FREE_CASH_FLOW_EQUITY","FQ2 2020","FQ2 2020","Currency=USD","Period=FQ","BEST_FPERIOD_OVERRIDE=FQ","FILING_STATUS=MR","SCALING_FORMAT=MLN","Sort=A","Dates=H","DateFormat=P","Fill=—","Direction=H","UseDPDF=Y")</f>
        <v>-160.11600000000001</v>
      </c>
      <c r="I63" s="13">
        <f>_xll.BDH("ALNY US Equity","FREE_CASH_FLOW_EQUITY","FQ3 2020","FQ3 2020","Currency=USD","Period=FQ","BEST_FPERIOD_OVERRIDE=FQ","FILING_STATUS=MR","SCALING_FORMAT=MLN","Sort=A","Dates=H","DateFormat=P","Fill=—","Direction=H","UseDPDF=Y")</f>
        <v>-122.744</v>
      </c>
      <c r="J63" s="13">
        <f>_xll.BDH("ALNY US Equity","FREE_CASH_FLOW_EQUITY","FQ4 2020","FQ4 2020","Currency=USD","Period=FQ","BEST_FPERIOD_OVERRIDE=FQ","FILING_STATUS=MR","SCALING_FORMAT=MLN","Sort=A","Dates=H","DateFormat=P","Fill=—","Direction=H","UseDPDF=Y")</f>
        <v>49.912999999999997</v>
      </c>
      <c r="K63" s="13">
        <f>_xll.BDH("ALNY US Equity","FREE_CASH_FLOW_EQUITY","FQ1 2021","FQ1 2021","Currency=USD","Period=FQ","BEST_FPERIOD_OVERRIDE=FQ","FILING_STATUS=MR","SCALING_FORMAT=MLN","Sort=A","Dates=H","DateFormat=P","Fill=—","Direction=H","UseDPDF=Y")</f>
        <v>-252.83799999999999</v>
      </c>
      <c r="L63" s="13">
        <f>_xll.BDH("ALNY US Equity","FREE_CASH_FLOW_EQUITY","FQ2 2021","FQ2 2021","Currency=USD","Period=FQ","BEST_FPERIOD_OVERRIDE=FQ","FILING_STATUS=MR","SCALING_FORMAT=MLN","Sort=A","Dates=H","DateFormat=P","Fill=—","Direction=H","UseDPDF=Y")</f>
        <v>110.648</v>
      </c>
      <c r="M63" s="13">
        <f>_xll.BDH("ALNY US Equity","FREE_CASH_FLOW_EQUITY","FQ3 2021","FQ3 2021","Currency=USD","Period=FQ","BEST_FPERIOD_OVERRIDE=FQ","FILING_STATUS=MR","SCALING_FORMAT=MLN","Sort=A","Dates=H","DateFormat=P","Fill=—","Direction=H","UseDPDF=Y")</f>
        <v>-166.34800000000001</v>
      </c>
      <c r="N63" s="13">
        <f>_xll.BDH("ALNY US Equity","FREE_CASH_FLOW_EQUITY","FQ4 2021","FQ4 2021","Currency=USD","Period=FQ","BEST_FPERIOD_OVERRIDE=FQ","FILING_STATUS=MR","SCALING_FORMAT=MLN","Sort=A","Dates=H","DateFormat=P","Fill=—","Direction=H","UseDPDF=Y")</f>
        <v>71.722999999999999</v>
      </c>
      <c r="O63" s="13">
        <f>_xll.BDH("ALNY US Equity","FREE_CASH_FLOW_EQUITY","FQ1 2022","FQ1 2022","Currency=USD","Period=FQ","BEST_FPERIOD_OVERRIDE=FQ","FILING_STATUS=MR","SCALING_FORMAT=MLN","Sort=A","Dates=H","DateFormat=P","Fill=—","Direction=H","UseDPDF=Y")</f>
        <v>-189.05199999999999</v>
      </c>
      <c r="P63" s="13">
        <f>_xll.BDH("ALNY US Equity","FREE_CASH_FLOW_EQUITY","FQ2 2022","FQ2 2022","Currency=USD","Period=FQ","BEST_FPERIOD_OVERRIDE=FQ","FILING_STATUS=MR","SCALING_FORMAT=MLN","Sort=A","Dates=H","DateFormat=P","Fill=—","Direction=H","UseDPDF=Y")</f>
        <v>-138.874</v>
      </c>
      <c r="Q63" s="13">
        <f>_xll.BDH("ALNY US Equity","FREE_CASH_FLOW_EQUITY","FQ3 2022","FQ3 2022","Currency=USD","Period=FQ","BEST_FPERIOD_OVERRIDE=FQ","FILING_STATUS=MR","SCALING_FORMAT=MLN","Sort=A","Dates=H","DateFormat=P","Fill=—","Direction=H","UseDPDF=Y")</f>
        <v>4.3760000000000003</v>
      </c>
      <c r="R63" s="13">
        <f>_xll.BDH("ALNY US Equity","FREE_CASH_FLOW_EQUITY","FQ4 2022","FQ4 2022","Currency=USD","Period=FQ","BEST_FPERIOD_OVERRIDE=FQ","FILING_STATUS=MR","SCALING_FORMAT=MLN","Sort=A","Dates=H","DateFormat=P","Fill=—","Direction=H","UseDPDF=Y")</f>
        <v>-35.779000000000003</v>
      </c>
      <c r="S63" s="13">
        <f>_xll.BDH("ALNY US Equity","FREE_CASH_FLOW_EQUITY","FQ1 2023","FQ1 2023","Currency=USD","Period=FQ","BEST_FPERIOD_OVERRIDE=FQ","FILING_STATUS=MR","SCALING_FORMAT=MLN","Sort=A","Dates=H","DateFormat=P","Fill=—","Direction=H","UseDPDF=Y")</f>
        <v>-180.36600000000001</v>
      </c>
      <c r="T63" s="13">
        <f>_xll.BDH("ALNY US Equity","FREE_CASH_FLOW_EQUITY","FQ2 2023","FQ2 2023","Currency=USD","Period=FQ","BEST_FPERIOD_OVERRIDE=FQ","FILING_STATUS=MR","SCALING_FORMAT=MLN","Sort=A","Dates=H","DateFormat=P","Fill=—","Direction=H","UseDPDF=Y")</f>
        <v>-74.905000000000001</v>
      </c>
      <c r="U63" s="13">
        <f>_xll.BDH("ALNY US Equity","FREE_CASH_FLOW_EQUITY","FQ3 2023","FQ3 2023","Currency=USD","Period=FQ","BEST_FPERIOD_OVERRIDE=FQ","FILING_STATUS=MR","SCALING_FORMAT=MLN","Sort=A","Dates=H","DateFormat=P","Fill=—","Direction=H","UseDPDF=Y")</f>
        <v>342.32</v>
      </c>
      <c r="V63" s="13">
        <f>_xll.BDH("ALNY US Equity","FREE_CASH_FLOW_EQUITY","FQ4 2023","FQ4 2023","Currency=USD","Period=FQ","BEST_FPERIOD_OVERRIDE=FQ","FILING_STATUS=MR","SCALING_FORMAT=MLN","Sort=A","Dates=H","DateFormat=P","Fill=—","Direction=H","UseDPDF=Y")</f>
        <v>-45.103999999999999</v>
      </c>
      <c r="W63" s="13">
        <f>_xll.BDH("ALNY US Equity","FREE_CASH_FLOW_EQUITY","FQ1 2024","FQ1 2024","Currency=USD","Period=FQ","BEST_FPERIOD_OVERRIDE=FQ","FILING_STATUS=MR","SCALING_FORMAT=MLN","Sort=A","Dates=H","DateFormat=P","Fill=—","Direction=H","UseDPDF=Y")</f>
        <v>-94.488</v>
      </c>
      <c r="X63" s="13">
        <f>_xll.BDH("ALNY US Equity","FREE_CASH_FLOW_EQUITY","FQ2 2024","FQ2 2024","Currency=USD","Period=FQ","BEST_FPERIOD_OVERRIDE=FQ","FILING_STATUS=MR","SCALING_FORMAT=MLN","Sort=A","Dates=H","DateFormat=P","Fill=—","Direction=H","UseDPDF=Y")</f>
        <v>116.14</v>
      </c>
      <c r="Y63" s="13">
        <f>_xll.BDH("ALNY US Equity","FREE_CASH_FLOW_EQUITY","FQ3 2024","FQ3 2024","Currency=USD","Period=FQ","BEST_FPERIOD_OVERRIDE=FQ","FILING_STATUS=MR","SCALING_FORMAT=MLN","Sort=A","Dates=H","DateFormat=P","Fill=—","Direction=H","UseDPDF=Y")</f>
        <v>39.515000000000001</v>
      </c>
      <c r="Z63" s="13">
        <f>_xll.BDH("ALNY US Equity","FREE_CASH_FLOW_EQUITY","FQ4 2024","FQ4 2024","Currency=USD","Period=FQ","BEST_FPERIOD_OVERRIDE=FQ","FILING_STATUS=MR","SCALING_FORMAT=MLN","Sort=A","Dates=H","DateFormat=P","Fill=—","Direction=H","UseDPDF=Y")</f>
        <v>-103.756</v>
      </c>
    </row>
    <row r="64" spans="1:26" x14ac:dyDescent="0.25">
      <c r="A64" s="10" t="s">
        <v>429</v>
      </c>
      <c r="B64" s="10" t="s">
        <v>430</v>
      </c>
      <c r="C64" s="14">
        <f>_xll.BDH("ALNY US Equity","FREE_CASH_FLOW_PER_SH","FQ1 2019","FQ1 2019","Currency=USD","Period=FQ","BEST_FPERIOD_OVERRIDE=FQ","FILING_STATUS=MR","Sort=A","Dates=H","DateFormat=P","Fill=—","Direction=H","UseDPDF=Y")</f>
        <v>-2.2063999999999999</v>
      </c>
      <c r="D64" s="14">
        <f>_xll.BDH("ALNY US Equity","FREE_CASH_FLOW_PER_SH","FQ2 2019","FQ2 2019","Currency=USD","Period=FQ","BEST_FPERIOD_OVERRIDE=FQ","FILING_STATUS=MR","Sort=A","Dates=H","DateFormat=P","Fill=—","Direction=H","UseDPDF=Y")</f>
        <v>2.4632999999999998</v>
      </c>
      <c r="E64" s="14">
        <f>_xll.BDH("ALNY US Equity","FREE_CASH_FLOW_PER_SH","FQ3 2019","FQ3 2019","Currency=USD","Period=FQ","BEST_FPERIOD_OVERRIDE=FQ","FILING_STATUS=MR","Sort=A","Dates=H","DateFormat=P","Fill=—","Direction=H","UseDPDF=Y")</f>
        <v>-2.0118</v>
      </c>
      <c r="F64" s="14">
        <f>_xll.BDH("ALNY US Equity","FREE_CASH_FLOW_PER_SH","FQ4 2019","FQ4 2019","Currency=USD","Period=FQ","BEST_FPERIOD_OVERRIDE=FQ","FILING_STATUS=MR","Sort=A","Dates=H","DateFormat=P","Fill=—","Direction=H","UseDPDF=Y")</f>
        <v>-2.101</v>
      </c>
      <c r="G64" s="14">
        <f>_xll.BDH("ALNY US Equity","FREE_CASH_FLOW_PER_SH","FQ1 2020","FQ1 2020","Currency=USD","Period=FQ","BEST_FPERIOD_OVERRIDE=FQ","FILING_STATUS=MR","Sort=A","Dates=H","DateFormat=P","Fill=—","Direction=H","UseDPDF=Y")</f>
        <v>-2.3573</v>
      </c>
      <c r="H64" s="14">
        <f>_xll.BDH("ALNY US Equity","FREE_CASH_FLOW_PER_SH","FQ2 2020","FQ2 2020","Currency=USD","Period=FQ","BEST_FPERIOD_OVERRIDE=FQ","FILING_STATUS=MR","Sort=A","Dates=H","DateFormat=P","Fill=—","Direction=H","UseDPDF=Y")</f>
        <v>-1.3227</v>
      </c>
      <c r="I64" s="14">
        <f>_xll.BDH("ALNY US Equity","FREE_CASH_FLOW_PER_SH","FQ3 2020","FQ3 2020","Currency=USD","Period=FQ","BEST_FPERIOD_OVERRIDE=FQ","FILING_STATUS=MR","Sort=A","Dates=H","DateFormat=P","Fill=—","Direction=H","UseDPDF=Y")</f>
        <v>-1.0583</v>
      </c>
      <c r="J64" s="14">
        <f>_xll.BDH("ALNY US Equity","FREE_CASH_FLOW_PER_SH","FQ4 2020","FQ4 2020","Currency=USD","Period=FQ","BEST_FPERIOD_OVERRIDE=FQ","FILING_STATUS=MR","Sort=A","Dates=H","DateFormat=P","Fill=—","Direction=H","UseDPDF=Y")</f>
        <v>-1.2454000000000001</v>
      </c>
      <c r="K64" s="14">
        <f>_xll.BDH("ALNY US Equity","FREE_CASH_FLOW_PER_SH","FQ1 2021","FQ1 2021","Currency=USD","Period=FQ","BEST_FPERIOD_OVERRIDE=FQ","FILING_STATUS=MR","Sort=A","Dates=H","DateFormat=P","Fill=—","Direction=H","UseDPDF=Y")</f>
        <v>-2.1595</v>
      </c>
      <c r="L64" s="14">
        <f>_xll.BDH("ALNY US Equity","FREE_CASH_FLOW_PER_SH","FQ2 2021","FQ2 2021","Currency=USD","Period=FQ","BEST_FPERIOD_OVERRIDE=FQ","FILING_STATUS=MR","Sort=A","Dates=H","DateFormat=P","Fill=—","Direction=H","UseDPDF=Y")</f>
        <v>-1.1302000000000001</v>
      </c>
      <c r="M64" s="14">
        <f>_xll.BDH("ALNY US Equity","FREE_CASH_FLOW_PER_SH","FQ3 2021","FQ3 2021","Currency=USD","Period=FQ","BEST_FPERIOD_OVERRIDE=FQ","FILING_STATUS=MR","Sort=A","Dates=H","DateFormat=P","Fill=—","Direction=H","UseDPDF=Y")</f>
        <v>-1.3438000000000001</v>
      </c>
      <c r="N64" s="14">
        <f>_xll.BDH("ALNY US Equity","FREE_CASH_FLOW_PER_SH","FQ4 2021","FQ4 2021","Currency=USD","Period=FQ","BEST_FPERIOD_OVERRIDE=FQ","FILING_STATUS=MR","Sort=A","Dates=H","DateFormat=P","Fill=—","Direction=H","UseDPDF=Y")</f>
        <v>-1.4362999999999999</v>
      </c>
      <c r="O64" s="14">
        <f>_xll.BDH("ALNY US Equity","FREE_CASH_FLOW_PER_SH","FQ1 2022","FQ1 2022","Currency=USD","Period=FQ","BEST_FPERIOD_OVERRIDE=FQ","FILING_STATUS=MR","Sort=A","Dates=H","DateFormat=P","Fill=—","Direction=H","UseDPDF=Y")</f>
        <v>-1.5703</v>
      </c>
      <c r="P64" s="14">
        <f>_xll.BDH("ALNY US Equity","FREE_CASH_FLOW_PER_SH","FQ2 2022","FQ2 2022","Currency=USD","Period=FQ","BEST_FPERIOD_OVERRIDE=FQ","FILING_STATUS=MR","Sort=A","Dates=H","DateFormat=P","Fill=—","Direction=H","UseDPDF=Y")</f>
        <v>-1.1487000000000001</v>
      </c>
      <c r="Q64" s="14">
        <f>_xll.BDH("ALNY US Equity","FREE_CASH_FLOW_PER_SH","FQ3 2022","FQ3 2022","Currency=USD","Period=FQ","BEST_FPERIOD_OVERRIDE=FQ","FILING_STATUS=MR","Sort=A","Dates=H","DateFormat=P","Fill=—","Direction=H","UseDPDF=Y")</f>
        <v>-1.0788</v>
      </c>
      <c r="R64" s="14">
        <f>_xll.BDH("ALNY US Equity","FREE_CASH_FLOW_PER_SH","FQ4 2022","FQ4 2022","Currency=USD","Period=FQ","BEST_FPERIOD_OVERRIDE=FQ","FILING_STATUS=MR","Sort=A","Dates=H","DateFormat=P","Fill=—","Direction=H","UseDPDF=Y")</f>
        <v>-1.2462</v>
      </c>
      <c r="S64" s="14">
        <f>_xll.BDH("ALNY US Equity","FREE_CASH_FLOW_PER_SH","FQ1 2023","FQ1 2023","Currency=USD","Period=FQ","BEST_FPERIOD_OVERRIDE=FQ","FILING_STATUS=MR","Sort=A","Dates=H","DateFormat=P","Fill=—","Direction=H","UseDPDF=Y")</f>
        <v>-1.4533</v>
      </c>
      <c r="T64" s="14">
        <f>_xll.BDH("ALNY US Equity","FREE_CASH_FLOW_PER_SH","FQ2 2023","FQ2 2023","Currency=USD","Period=FQ","BEST_FPERIOD_OVERRIDE=FQ","FILING_STATUS=MR","Sort=A","Dates=H","DateFormat=P","Fill=—","Direction=H","UseDPDF=Y")</f>
        <v>-0.60089999999999999</v>
      </c>
      <c r="U64" s="14">
        <f>_xll.BDH("ALNY US Equity","FREE_CASH_FLOW_PER_SH","FQ3 2023","FQ3 2023","Currency=USD","Period=FQ","BEST_FPERIOD_OVERRIDE=FQ","FILING_STATUS=MR","Sort=A","Dates=H","DateFormat=P","Fill=—","Direction=H","UseDPDF=Y")</f>
        <v>2.7336999999999998</v>
      </c>
      <c r="V64" s="14">
        <f>_xll.BDH("ALNY US Equity","FREE_CASH_FLOW_PER_SH","FQ4 2023","FQ4 2023","Currency=USD","Period=FQ","BEST_FPERIOD_OVERRIDE=FQ","FILING_STATUS=MR","Sort=A","Dates=H","DateFormat=P","Fill=—","Direction=H","UseDPDF=Y")</f>
        <v>-0.35909999999999997</v>
      </c>
      <c r="W64" s="14">
        <f>_xll.BDH("ALNY US Equity","FREE_CASH_FLOW_PER_SH","FQ1 2024","FQ1 2024","Currency=USD","Period=FQ","BEST_FPERIOD_OVERRIDE=FQ","FILING_STATUS=MR","Sort=A","Dates=H","DateFormat=P","Fill=—","Direction=H","UseDPDF=Y")</f>
        <v>-0.74909999999999999</v>
      </c>
      <c r="X64" s="14">
        <f>_xll.BDH("ALNY US Equity","FREE_CASH_FLOW_PER_SH","FQ2 2024","FQ2 2024","Currency=USD","Period=FQ","BEST_FPERIOD_OVERRIDE=FQ","FILING_STATUS=MR","Sort=A","Dates=H","DateFormat=P","Fill=—","Direction=H","UseDPDF=Y")</f>
        <v>0.91639999999999999</v>
      </c>
      <c r="Y64" s="14">
        <f>_xll.BDH("ALNY US Equity","FREE_CASH_FLOW_PER_SH","FQ3 2024","FQ3 2024","Currency=USD","Period=FQ","BEST_FPERIOD_OVERRIDE=FQ","FILING_STATUS=MR","Sort=A","Dates=H","DateFormat=P","Fill=—","Direction=H","UseDPDF=Y")</f>
        <v>0.30730000000000002</v>
      </c>
      <c r="Z64" s="14">
        <f>_xll.BDH("ALNY US Equity","FREE_CASH_FLOW_PER_SH","FQ4 2024","FQ4 2024","Currency=USD","Period=FQ","BEST_FPERIOD_OVERRIDE=FQ","FILING_STATUS=MR","Sort=A","Dates=H","DateFormat=P","Fill=—","Direction=H","UseDPDF=Y")</f>
        <v>-0.80359999999999998</v>
      </c>
    </row>
    <row r="65" spans="1:26" x14ac:dyDescent="0.25">
      <c r="A65" s="10" t="s">
        <v>431</v>
      </c>
      <c r="B65" s="10" t="s">
        <v>432</v>
      </c>
      <c r="C65" s="14" t="str">
        <f>_xll.BDH("ALNY US Equity","PX_TO_FREE_CASH_FLOW","FQ1 2019","FQ1 2019","Currency=USD","Period=FQ","BEST_FPERIOD_OVERRIDE=FQ","FILING_STATUS=MR","Sort=A","Dates=H","DateFormat=P","Fill=—","Direction=H","UseDPDF=Y")</f>
        <v>—</v>
      </c>
      <c r="D65" s="14" t="str">
        <f>_xll.BDH("ALNY US Equity","PX_TO_FREE_CASH_FLOW","FQ2 2019","FQ2 2019","Currency=USD","Period=FQ","BEST_FPERIOD_OVERRIDE=FQ","FILING_STATUS=MR","Sort=A","Dates=H","DateFormat=P","Fill=—","Direction=H","UseDPDF=Y")</f>
        <v>—</v>
      </c>
      <c r="E65" s="14" t="str">
        <f>_xll.BDH("ALNY US Equity","PX_TO_FREE_CASH_FLOW","FQ3 2019","FQ3 2019","Currency=USD","Period=FQ","BEST_FPERIOD_OVERRIDE=FQ","FILING_STATUS=MR","Sort=A","Dates=H","DateFormat=P","Fill=—","Direction=H","UseDPDF=Y")</f>
        <v>—</v>
      </c>
      <c r="F65" s="14" t="str">
        <f>_xll.BDH("ALNY US Equity","PX_TO_FREE_CASH_FLOW","FQ4 2019","FQ4 2019","Currency=USD","Period=FQ","BEST_FPERIOD_OVERRIDE=FQ","FILING_STATUS=MR","Sort=A","Dates=H","DateFormat=P","Fill=—","Direction=H","UseDPDF=Y")</f>
        <v>—</v>
      </c>
      <c r="G65" s="14" t="str">
        <f>_xll.BDH("ALNY US Equity","PX_TO_FREE_CASH_FLOW","FQ1 2020","FQ1 2020","Currency=USD","Period=FQ","BEST_FPERIOD_OVERRIDE=FQ","FILING_STATUS=MR","Sort=A","Dates=H","DateFormat=P","Fill=—","Direction=H","UseDPDF=Y")</f>
        <v>—</v>
      </c>
      <c r="H65" s="14" t="str">
        <f>_xll.BDH("ALNY US Equity","PX_TO_FREE_CASH_FLOW","FQ2 2020","FQ2 2020","Currency=USD","Period=FQ","BEST_FPERIOD_OVERRIDE=FQ","FILING_STATUS=MR","Sort=A","Dates=H","DateFormat=P","Fill=—","Direction=H","UseDPDF=Y")</f>
        <v>—</v>
      </c>
      <c r="I65" s="14" t="str">
        <f>_xll.BDH("ALNY US Equity","PX_TO_FREE_CASH_FLOW","FQ3 2020","FQ3 2020","Currency=USD","Period=FQ","BEST_FPERIOD_OVERRIDE=FQ","FILING_STATUS=MR","Sort=A","Dates=H","DateFormat=P","Fill=—","Direction=H","UseDPDF=Y")</f>
        <v>—</v>
      </c>
      <c r="J65" s="14" t="str">
        <f>_xll.BDH("ALNY US Equity","PX_TO_FREE_CASH_FLOW","FQ4 2020","FQ4 2020","Currency=USD","Period=FQ","BEST_FPERIOD_OVERRIDE=FQ","FILING_STATUS=MR","Sort=A","Dates=H","DateFormat=P","Fill=—","Direction=H","UseDPDF=Y")</f>
        <v>—</v>
      </c>
      <c r="K65" s="14" t="str">
        <f>_xll.BDH("ALNY US Equity","PX_TO_FREE_CASH_FLOW","FQ1 2021","FQ1 2021","Currency=USD","Period=FQ","BEST_FPERIOD_OVERRIDE=FQ","FILING_STATUS=MR","Sort=A","Dates=H","DateFormat=P","Fill=—","Direction=H","UseDPDF=Y")</f>
        <v>—</v>
      </c>
      <c r="L65" s="14" t="str">
        <f>_xll.BDH("ALNY US Equity","PX_TO_FREE_CASH_FLOW","FQ2 2021","FQ2 2021","Currency=USD","Period=FQ","BEST_FPERIOD_OVERRIDE=FQ","FILING_STATUS=MR","Sort=A","Dates=H","DateFormat=P","Fill=—","Direction=H","UseDPDF=Y")</f>
        <v>—</v>
      </c>
      <c r="M65" s="14" t="str">
        <f>_xll.BDH("ALNY US Equity","PX_TO_FREE_CASH_FLOW","FQ3 2021","FQ3 2021","Currency=USD","Period=FQ","BEST_FPERIOD_OVERRIDE=FQ","FILING_STATUS=MR","Sort=A","Dates=H","DateFormat=P","Fill=—","Direction=H","UseDPDF=Y")</f>
        <v>—</v>
      </c>
      <c r="N65" s="14" t="str">
        <f>_xll.BDH("ALNY US Equity","PX_TO_FREE_CASH_FLOW","FQ4 2021","FQ4 2021","Currency=USD","Period=FQ","BEST_FPERIOD_OVERRIDE=FQ","FILING_STATUS=MR","Sort=A","Dates=H","DateFormat=P","Fill=—","Direction=H","UseDPDF=Y")</f>
        <v>—</v>
      </c>
      <c r="O65" s="14" t="str">
        <f>_xll.BDH("ALNY US Equity","PX_TO_FREE_CASH_FLOW","FQ1 2022","FQ1 2022","Currency=USD","Period=FQ","BEST_FPERIOD_OVERRIDE=FQ","FILING_STATUS=MR","Sort=A","Dates=H","DateFormat=P","Fill=—","Direction=H","UseDPDF=Y")</f>
        <v>—</v>
      </c>
      <c r="P65" s="14" t="str">
        <f>_xll.BDH("ALNY US Equity","PX_TO_FREE_CASH_FLOW","FQ2 2022","FQ2 2022","Currency=USD","Period=FQ","BEST_FPERIOD_OVERRIDE=FQ","FILING_STATUS=MR","Sort=A","Dates=H","DateFormat=P","Fill=—","Direction=H","UseDPDF=Y")</f>
        <v>—</v>
      </c>
      <c r="Q65" s="14" t="str">
        <f>_xll.BDH("ALNY US Equity","PX_TO_FREE_CASH_FLOW","FQ3 2022","FQ3 2022","Currency=USD","Period=FQ","BEST_FPERIOD_OVERRIDE=FQ","FILING_STATUS=MR","Sort=A","Dates=H","DateFormat=P","Fill=—","Direction=H","UseDPDF=Y")</f>
        <v>—</v>
      </c>
      <c r="R65" s="14" t="str">
        <f>_xll.BDH("ALNY US Equity","PX_TO_FREE_CASH_FLOW","FQ4 2022","FQ4 2022","Currency=USD","Period=FQ","BEST_FPERIOD_OVERRIDE=FQ","FILING_STATUS=MR","Sort=A","Dates=H","DateFormat=P","Fill=—","Direction=H","UseDPDF=Y")</f>
        <v>—</v>
      </c>
      <c r="S65" s="14" t="str">
        <f>_xll.BDH("ALNY US Equity","PX_TO_FREE_CASH_FLOW","FQ1 2023","FQ1 2023","Currency=USD","Period=FQ","BEST_FPERIOD_OVERRIDE=FQ","FILING_STATUS=MR","Sort=A","Dates=H","DateFormat=P","Fill=—","Direction=H","UseDPDF=Y")</f>
        <v>—</v>
      </c>
      <c r="T65" s="14" t="str">
        <f>_xll.BDH("ALNY US Equity","PX_TO_FREE_CASH_FLOW","FQ2 2023","FQ2 2023","Currency=USD","Period=FQ","BEST_FPERIOD_OVERRIDE=FQ","FILING_STATUS=MR","Sort=A","Dates=H","DateFormat=P","Fill=—","Direction=H","UseDPDF=Y")</f>
        <v>—</v>
      </c>
      <c r="U65" s="14" t="str">
        <f>_xll.BDH("ALNY US Equity","PX_TO_FREE_CASH_FLOW","FQ3 2023","FQ3 2023","Currency=USD","Period=FQ","BEST_FPERIOD_OVERRIDE=FQ","FILING_STATUS=MR","Sort=A","Dates=H","DateFormat=P","Fill=—","Direction=H","UseDPDF=Y")</f>
        <v>—</v>
      </c>
      <c r="V65" s="14">
        <f>_xll.BDH("ALNY US Equity","PX_TO_FREE_CASH_FLOW","FQ4 2023","FQ4 2023","Currency=USD","Period=FQ","BEST_FPERIOD_OVERRIDE=FQ","FILING_STATUS=MR","Sort=A","Dates=H","DateFormat=P","Fill=—","Direction=H","UseDPDF=Y")</f>
        <v>597.1585</v>
      </c>
      <c r="W65" s="14">
        <f>_xll.BDH("ALNY US Equity","PX_TO_FREE_CASH_FLOW","FQ1 2024","FQ1 2024","Currency=USD","Period=FQ","BEST_FPERIOD_OVERRIDE=FQ","FILING_STATUS=MR","Sort=A","Dates=H","DateFormat=P","Fill=—","Direction=H","UseDPDF=Y")</f>
        <v>145.84559999999999</v>
      </c>
      <c r="X65" s="14">
        <f>_xll.BDH("ALNY US Equity","PX_TO_FREE_CASH_FLOW","FQ2 2024","FQ2 2024","Currency=USD","Period=FQ","BEST_FPERIOD_OVERRIDE=FQ","FILING_STATUS=MR","Sort=A","Dates=H","DateFormat=P","Fill=—","Direction=H","UseDPDF=Y")</f>
        <v>95.593699999999998</v>
      </c>
      <c r="Y65" s="14">
        <f>_xll.BDH("ALNY US Equity","PX_TO_FREE_CASH_FLOW","FQ3 2024","FQ3 2024","Currency=USD","Period=FQ","BEST_FPERIOD_OVERRIDE=FQ","FILING_STATUS=MR","Sort=A","Dates=H","DateFormat=P","Fill=—","Direction=H","UseDPDF=Y")</f>
        <v>2380.1019000000001</v>
      </c>
      <c r="Z65" s="14" t="str">
        <f>_xll.BDH("ALNY US Equity","PX_TO_FREE_CASH_FLOW","FQ4 2024","FQ4 2024","Currency=USD","Period=FQ","BEST_FPERIOD_OVERRIDE=FQ","FILING_STATUS=MR","Sort=A","Dates=H","DateFormat=P","Fill=—","Direction=H","UseDPDF=Y")</f>
        <v>—</v>
      </c>
    </row>
    <row r="66" spans="1:26" x14ac:dyDescent="0.25">
      <c r="A66" s="10" t="s">
        <v>433</v>
      </c>
      <c r="B66" s="10" t="s">
        <v>434</v>
      </c>
      <c r="C66" s="14" t="str">
        <f>_xll.BDH("ALNY US Equity","CASH_FLOW_TO_NET_INC","FQ1 2019","FQ1 2019","Currency=USD","Period=FQ","BEST_FPERIOD_OVERRIDE=FQ","FILING_STATUS=MR","FA_ADJUSTED=GAAP","Sort=A","Dates=H","DateFormat=P","Fill=—","Direction=H","UseDPDF=Y")</f>
        <v>—</v>
      </c>
      <c r="D66" s="14" t="str">
        <f>_xll.BDH("ALNY US Equity","CASH_FLOW_TO_NET_INC","FQ2 2019","FQ2 2019","Currency=USD","Period=FQ","BEST_FPERIOD_OVERRIDE=FQ","FILING_STATUS=MR","FA_ADJUSTED=GAAP","Sort=A","Dates=H","DateFormat=P","Fill=—","Direction=H","UseDPDF=Y")</f>
        <v>—</v>
      </c>
      <c r="E66" s="14" t="str">
        <f>_xll.BDH("ALNY US Equity","CASH_FLOW_TO_NET_INC","FQ3 2019","FQ3 2019","Currency=USD","Period=FQ","BEST_FPERIOD_OVERRIDE=FQ","FILING_STATUS=MR","FA_ADJUSTED=GAAP","Sort=A","Dates=H","DateFormat=P","Fill=—","Direction=H","UseDPDF=Y")</f>
        <v>—</v>
      </c>
      <c r="F66" s="14" t="str">
        <f>_xll.BDH("ALNY US Equity","CASH_FLOW_TO_NET_INC","FQ4 2019","FQ4 2019","Currency=USD","Period=FQ","BEST_FPERIOD_OVERRIDE=FQ","FILING_STATUS=MR","FA_ADJUSTED=GAAP","Sort=A","Dates=H","DateFormat=P","Fill=—","Direction=H","UseDPDF=Y")</f>
        <v>—</v>
      </c>
      <c r="G66" s="14" t="str">
        <f>_xll.BDH("ALNY US Equity","CASH_FLOW_TO_NET_INC","FQ1 2020","FQ1 2020","Currency=USD","Period=FQ","BEST_FPERIOD_OVERRIDE=FQ","FILING_STATUS=MR","FA_ADJUSTED=GAAP","Sort=A","Dates=H","DateFormat=P","Fill=—","Direction=H","UseDPDF=Y")</f>
        <v>—</v>
      </c>
      <c r="H66" s="14" t="str">
        <f>_xll.BDH("ALNY US Equity","CASH_FLOW_TO_NET_INC","FQ2 2020","FQ2 2020","Currency=USD","Period=FQ","BEST_FPERIOD_OVERRIDE=FQ","FILING_STATUS=MR","FA_ADJUSTED=GAAP","Sort=A","Dates=H","DateFormat=P","Fill=—","Direction=H","UseDPDF=Y")</f>
        <v>—</v>
      </c>
      <c r="I66" s="14" t="str">
        <f>_xll.BDH("ALNY US Equity","CASH_FLOW_TO_NET_INC","FQ3 2020","FQ3 2020","Currency=USD","Period=FQ","BEST_FPERIOD_OVERRIDE=FQ","FILING_STATUS=MR","FA_ADJUSTED=GAAP","Sort=A","Dates=H","DateFormat=P","Fill=—","Direction=H","UseDPDF=Y")</f>
        <v>—</v>
      </c>
      <c r="J66" s="14" t="str">
        <f>_xll.BDH("ALNY US Equity","CASH_FLOW_TO_NET_INC","FQ4 2020","FQ4 2020","Currency=USD","Period=FQ","BEST_FPERIOD_OVERRIDE=FQ","FILING_STATUS=MR","FA_ADJUSTED=GAAP","Sort=A","Dates=H","DateFormat=P","Fill=—","Direction=H","UseDPDF=Y")</f>
        <v>—</v>
      </c>
      <c r="K66" s="14" t="str">
        <f>_xll.BDH("ALNY US Equity","CASH_FLOW_TO_NET_INC","FQ1 2021","FQ1 2021","Currency=USD","Period=FQ","BEST_FPERIOD_OVERRIDE=FQ","FILING_STATUS=MR","FA_ADJUSTED=GAAP","Sort=A","Dates=H","DateFormat=P","Fill=—","Direction=H","UseDPDF=Y")</f>
        <v>—</v>
      </c>
      <c r="L66" s="14" t="str">
        <f>_xll.BDH("ALNY US Equity","CASH_FLOW_TO_NET_INC","FQ2 2021","FQ2 2021","Currency=USD","Period=FQ","BEST_FPERIOD_OVERRIDE=FQ","FILING_STATUS=MR","FA_ADJUSTED=GAAP","Sort=A","Dates=H","DateFormat=P","Fill=—","Direction=H","UseDPDF=Y")</f>
        <v>—</v>
      </c>
      <c r="M66" s="14" t="str">
        <f>_xll.BDH("ALNY US Equity","CASH_FLOW_TO_NET_INC","FQ3 2021","FQ3 2021","Currency=USD","Period=FQ","BEST_FPERIOD_OVERRIDE=FQ","FILING_STATUS=MR","FA_ADJUSTED=GAAP","Sort=A","Dates=H","DateFormat=P","Fill=—","Direction=H","UseDPDF=Y")</f>
        <v>—</v>
      </c>
      <c r="N66" s="14" t="str">
        <f>_xll.BDH("ALNY US Equity","CASH_FLOW_TO_NET_INC","FQ4 2021","FQ4 2021","Currency=USD","Period=FQ","BEST_FPERIOD_OVERRIDE=FQ","FILING_STATUS=MR","FA_ADJUSTED=GAAP","Sort=A","Dates=H","DateFormat=P","Fill=—","Direction=H","UseDPDF=Y")</f>
        <v>—</v>
      </c>
      <c r="O66" s="14" t="str">
        <f>_xll.BDH("ALNY US Equity","CASH_FLOW_TO_NET_INC","FQ1 2022","FQ1 2022","Currency=USD","Period=FQ","BEST_FPERIOD_OVERRIDE=FQ","FILING_STATUS=MR","FA_ADJUSTED=GAAP","Sort=A","Dates=H","DateFormat=P","Fill=—","Direction=H","UseDPDF=Y")</f>
        <v>—</v>
      </c>
      <c r="P66" s="14" t="str">
        <f>_xll.BDH("ALNY US Equity","CASH_FLOW_TO_NET_INC","FQ2 2022","FQ2 2022","Currency=USD","Period=FQ","BEST_FPERIOD_OVERRIDE=FQ","FILING_STATUS=MR","FA_ADJUSTED=GAAP","Sort=A","Dates=H","DateFormat=P","Fill=—","Direction=H","UseDPDF=Y")</f>
        <v>—</v>
      </c>
      <c r="Q66" s="14" t="str">
        <f>_xll.BDH("ALNY US Equity","CASH_FLOW_TO_NET_INC","FQ3 2022","FQ3 2022","Currency=USD","Period=FQ","BEST_FPERIOD_OVERRIDE=FQ","FILING_STATUS=MR","FA_ADJUSTED=GAAP","Sort=A","Dates=H","DateFormat=P","Fill=—","Direction=H","UseDPDF=Y")</f>
        <v>—</v>
      </c>
      <c r="R66" s="14" t="str">
        <f>_xll.BDH("ALNY US Equity","CASH_FLOW_TO_NET_INC","FQ4 2022","FQ4 2022","Currency=USD","Period=FQ","BEST_FPERIOD_OVERRIDE=FQ","FILING_STATUS=MR","FA_ADJUSTED=GAAP","Sort=A","Dates=H","DateFormat=P","Fill=—","Direction=H","UseDPDF=Y")</f>
        <v>—</v>
      </c>
      <c r="S66" s="14" t="str">
        <f>_xll.BDH("ALNY US Equity","CASH_FLOW_TO_NET_INC","FQ1 2023","FQ1 2023","Currency=USD","Period=FQ","BEST_FPERIOD_OVERRIDE=FQ","FILING_STATUS=MR","FA_ADJUSTED=GAAP","Sort=A","Dates=H","DateFormat=P","Fill=—","Direction=H","UseDPDF=Y")</f>
        <v>—</v>
      </c>
      <c r="T66" s="14" t="str">
        <f>_xll.BDH("ALNY US Equity","CASH_FLOW_TO_NET_INC","FQ2 2023","FQ2 2023","Currency=USD","Period=FQ","BEST_FPERIOD_OVERRIDE=FQ","FILING_STATUS=MR","FA_ADJUSTED=GAAP","Sort=A","Dates=H","DateFormat=P","Fill=—","Direction=H","UseDPDF=Y")</f>
        <v>—</v>
      </c>
      <c r="U66" s="14">
        <f>_xll.BDH("ALNY US Equity","CASH_FLOW_TO_NET_INC","FQ3 2023","FQ3 2023","Currency=USD","Period=FQ","BEST_FPERIOD_OVERRIDE=FQ","FILING_STATUS=MR","FA_ADJUSTED=GAAP","Sort=A","Dates=H","DateFormat=P","Fill=—","Direction=H","UseDPDF=Y")</f>
        <v>2.4325000000000001</v>
      </c>
      <c r="V66" s="14" t="str">
        <f>_xll.BDH("ALNY US Equity","CASH_FLOW_TO_NET_INC","FQ4 2023","FQ4 2023","Currency=USD","Period=FQ","BEST_FPERIOD_OVERRIDE=FQ","FILING_STATUS=MR","FA_ADJUSTED=GAAP","Sort=A","Dates=H","DateFormat=P","Fill=—","Direction=H","UseDPDF=Y")</f>
        <v>—</v>
      </c>
      <c r="W66" s="14" t="str">
        <f>_xll.BDH("ALNY US Equity","CASH_FLOW_TO_NET_INC","FQ1 2024","FQ1 2024","Currency=USD","Period=FQ","BEST_FPERIOD_OVERRIDE=FQ","FILING_STATUS=MR","FA_ADJUSTED=GAAP","Sort=A","Dates=H","DateFormat=P","Fill=—","Direction=H","UseDPDF=Y")</f>
        <v>—</v>
      </c>
      <c r="X66" s="14" t="str">
        <f>_xll.BDH("ALNY US Equity","CASH_FLOW_TO_NET_INC","FQ2 2024","FQ2 2024","Currency=USD","Period=FQ","BEST_FPERIOD_OVERRIDE=FQ","FILING_STATUS=MR","FA_ADJUSTED=GAAP","Sort=A","Dates=H","DateFormat=P","Fill=—","Direction=H","UseDPDF=Y")</f>
        <v>—</v>
      </c>
      <c r="Y66" s="14" t="str">
        <f>_xll.BDH("ALNY US Equity","CASH_FLOW_TO_NET_INC","FQ3 2024","FQ3 2024","Currency=USD","Period=FQ","BEST_FPERIOD_OVERRIDE=FQ","FILING_STATUS=MR","FA_ADJUSTED=GAAP","Sort=A","Dates=H","DateFormat=P","Fill=—","Direction=H","UseDPDF=Y")</f>
        <v>—</v>
      </c>
      <c r="Z66" s="14" t="str">
        <f>_xll.BDH("ALNY US Equity","CASH_FLOW_TO_NET_INC","FQ4 2024","FQ4 2024","Currency=USD","Period=FQ","BEST_FPERIOD_OVERRIDE=FQ","FILING_STATUS=MR","FA_ADJUSTED=GAAP","Sort=A","Dates=H","DateFormat=P","Fill=—","Direction=H","UseDPDF=Y")</f>
        <v>—</v>
      </c>
    </row>
    <row r="67" spans="1:26" x14ac:dyDescent="0.25">
      <c r="A67" s="7" t="s">
        <v>172</v>
      </c>
      <c r="B67" s="7"/>
      <c r="C67" s="7" t="s">
        <v>3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- Adjusted</vt:lpstr>
      <vt:lpstr>Bal Sheet - Standardized</vt:lpstr>
      <vt:lpstr>Cash Flow - Standardized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Student2</cp:lastModifiedBy>
  <dcterms:created xsi:type="dcterms:W3CDTF">2013-04-03T15:49:21Z</dcterms:created>
  <dcterms:modified xsi:type="dcterms:W3CDTF">2025-03-07T09:02:43Z</dcterms:modified>
</cp:coreProperties>
</file>